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80" activeTab="0"/>
  </bookViews>
  <sheets>
    <sheet name="titul" sheetId="1" r:id="rId1"/>
    <sheet name="Přehled o rozpočtu_HČ" sheetId="2" r:id="rId2"/>
    <sheet name="komentář" sheetId="3" r:id="rId3"/>
    <sheet name="Grafy " sheetId="4" r:id="rId4"/>
    <sheet name="Vybrané položky" sheetId="5" r:id="rId5"/>
    <sheet name="ICT" sheetId="6" r:id="rId6"/>
    <sheet name="ZPC" sheetId="7" r:id="rId7"/>
    <sheet name="Zpeněžení DřHm" sheetId="8" r:id="rId8"/>
    <sheet name="Plnění rozpočtu a očekávka" sheetId="9" r:id="rId9"/>
    <sheet name="Finanční majetek" sheetId="10" r:id="rId10"/>
    <sheet name="Odpisy" sheetId="11" r:id="rId11"/>
    <sheet name="Plnění rozpočtu_JČ" sheetId="12" r:id="rId12"/>
    <sheet name="Investice Projekty" sheetId="13" state="hidden" r:id="rId13"/>
    <sheet name="Projekty a investice" sheetId="14" r:id="rId14"/>
    <sheet name="náklady dle čiností" sheetId="15" r:id="rId15"/>
    <sheet name="poznámky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V" localSheetId="3">'[1]301-KPR'!#REF!</definedName>
    <definedName name="AV" localSheetId="5">'[1]301-KPR'!#REF!</definedName>
    <definedName name="AV" localSheetId="14">'[1]301-KPR'!#REF!</definedName>
    <definedName name="AV" localSheetId="8">'[1]301-KPR'!#REF!</definedName>
    <definedName name="AV" localSheetId="1">'[1]301-KPR'!#REF!</definedName>
    <definedName name="AV" localSheetId="7">'[1]301-KPR'!#REF!</definedName>
    <definedName name="AV">'[1]301-KPR'!#REF!</definedName>
    <definedName name="CBU" localSheetId="3">'[1]301-KPR'!#REF!</definedName>
    <definedName name="CBU" localSheetId="5">'[1]301-KPR'!#REF!</definedName>
    <definedName name="CBU" localSheetId="14">'[1]301-KPR'!#REF!</definedName>
    <definedName name="CBU" localSheetId="8">'[1]301-KPR'!#REF!</definedName>
    <definedName name="CBU" localSheetId="1">'[1]301-KPR'!#REF!</definedName>
    <definedName name="CBU" localSheetId="7">'[1]301-KPR'!#REF!</definedName>
    <definedName name="CBU">'[1]301-KPR'!#REF!</definedName>
    <definedName name="CSU" localSheetId="3">'[1]301-KPR'!#REF!</definedName>
    <definedName name="CSU" localSheetId="5">'[1]301-KPR'!#REF!</definedName>
    <definedName name="CSU" localSheetId="14">'[1]301-KPR'!#REF!</definedName>
    <definedName name="CSU" localSheetId="8">'[1]301-KPR'!#REF!</definedName>
    <definedName name="CSU" localSheetId="1">'[1]301-KPR'!#REF!</definedName>
    <definedName name="CSU" localSheetId="7">'[1]301-KPR'!#REF!</definedName>
    <definedName name="CSU">'[1]301-KPR'!#REF!</definedName>
    <definedName name="CUZK" localSheetId="3">'[1]301-KPR'!#REF!</definedName>
    <definedName name="CUZK" localSheetId="5">'[1]301-KPR'!#REF!</definedName>
    <definedName name="CUZK" localSheetId="14">'[1]301-KPR'!#REF!</definedName>
    <definedName name="CUZK" localSheetId="8">'[1]301-KPR'!#REF!</definedName>
    <definedName name="CUZK" localSheetId="1">'[1]301-KPR'!#REF!</definedName>
    <definedName name="CUZK" localSheetId="7">'[1]301-KPR'!#REF!</definedName>
    <definedName name="CUZK">'[1]301-KPR'!#REF!</definedName>
    <definedName name="GA" localSheetId="3">'[1]301-KPR'!#REF!</definedName>
    <definedName name="GA" localSheetId="5">'[1]301-KPR'!#REF!</definedName>
    <definedName name="GA" localSheetId="14">'[1]301-KPR'!#REF!</definedName>
    <definedName name="GA" localSheetId="8">'[1]301-KPR'!#REF!</definedName>
    <definedName name="GA" localSheetId="1">'[1]301-KPR'!#REF!</definedName>
    <definedName name="GA" localSheetId="7">'[1]301-KPR'!#REF!</definedName>
    <definedName name="GA">'[1]301-KPR'!#REF!</definedName>
    <definedName name="MDS" localSheetId="3">'[1]301-KPR'!#REF!</definedName>
    <definedName name="MDS" localSheetId="5">'[1]301-KPR'!#REF!</definedName>
    <definedName name="MDS" localSheetId="8">'[1]301-KPR'!#REF!</definedName>
    <definedName name="MDS" localSheetId="1">'[1]301-KPR'!#REF!</definedName>
    <definedName name="MDS" localSheetId="7">'[1]301-KPR'!#REF!</definedName>
    <definedName name="MDS">'[1]301-KPR'!#REF!</definedName>
    <definedName name="MK" localSheetId="3">'[1]301-KPR'!#REF!</definedName>
    <definedName name="MK" localSheetId="5">'[1]301-KPR'!#REF!</definedName>
    <definedName name="MK" localSheetId="8">'[1]301-KPR'!#REF!</definedName>
    <definedName name="MK" localSheetId="1">'[1]301-KPR'!#REF!</definedName>
    <definedName name="MK" localSheetId="7">'[1]301-KPR'!#REF!</definedName>
    <definedName name="MK">'[1]301-KPR'!#REF!</definedName>
    <definedName name="MPO" localSheetId="3">'[1]301-KPR'!#REF!</definedName>
    <definedName name="MPO" localSheetId="5">'[1]301-KPR'!#REF!</definedName>
    <definedName name="MPO" localSheetId="8">'[1]301-KPR'!#REF!</definedName>
    <definedName name="MPO" localSheetId="1">'[1]301-KPR'!#REF!</definedName>
    <definedName name="MPO" localSheetId="7">'[1]301-KPR'!#REF!</definedName>
    <definedName name="MPO">'[1]301-KPR'!#REF!</definedName>
    <definedName name="MS" localSheetId="3">'[1]301-KPR'!#REF!</definedName>
    <definedName name="MS" localSheetId="5">'[1]301-KPR'!#REF!</definedName>
    <definedName name="MS" localSheetId="8">'[1]301-KPR'!#REF!</definedName>
    <definedName name="MS" localSheetId="1">'[1]301-KPR'!#REF!</definedName>
    <definedName name="MS" localSheetId="7">'[1]301-KPR'!#REF!</definedName>
    <definedName name="MS">'[1]301-KPR'!#REF!</definedName>
    <definedName name="MSMT" localSheetId="3">'[1]301-KPR'!#REF!</definedName>
    <definedName name="MSMT" localSheetId="5">'[1]301-KPR'!#REF!</definedName>
    <definedName name="MSMT" localSheetId="8">'[1]301-KPR'!#REF!</definedName>
    <definedName name="MSMT" localSheetId="1">'[1]301-KPR'!#REF!</definedName>
    <definedName name="MSMT" localSheetId="7">'[1]301-KPR'!#REF!</definedName>
    <definedName name="MSMT">'[1]301-KPR'!#REF!</definedName>
    <definedName name="MZdr" localSheetId="3">'[1]301-KPR'!#REF!</definedName>
    <definedName name="MZdr" localSheetId="5">'[1]301-KPR'!#REF!</definedName>
    <definedName name="MZdr" localSheetId="8">'[1]301-KPR'!#REF!</definedName>
    <definedName name="MZdr" localSheetId="1">'[1]301-KPR'!#REF!</definedName>
    <definedName name="MZdr" localSheetId="7">'[1]301-KPR'!#REF!</definedName>
    <definedName name="MZdr">'[1]301-KPR'!#REF!</definedName>
    <definedName name="MZe" localSheetId="3">'[1]301-KPR'!#REF!</definedName>
    <definedName name="MZe" localSheetId="5">'[1]301-KPR'!#REF!</definedName>
    <definedName name="MZe" localSheetId="8">'[1]301-KPR'!#REF!</definedName>
    <definedName name="MZe" localSheetId="1">'[1]301-KPR'!#REF!</definedName>
    <definedName name="MZe" localSheetId="7">'[1]301-KPR'!#REF!</definedName>
    <definedName name="MZe">'[1]301-KPR'!#REF!</definedName>
    <definedName name="_xlnm.Print_Titles" localSheetId="8">'Plnění rozpočtu a očekávka'!$4:$6</definedName>
    <definedName name="_xlnm.Print_Titles" localSheetId="11">'Plnění rozpočtu_JČ'!$4:$6</definedName>
    <definedName name="_xlnm.Print_Titles" localSheetId="1">'Přehled o rozpočtu_HČ'!$4:$6</definedName>
    <definedName name="NKU" localSheetId="3">'[1]301-KPR'!#REF!</definedName>
    <definedName name="NKU" localSheetId="5">'[1]301-KPR'!#REF!</definedName>
    <definedName name="NKU" localSheetId="14">'[1]301-KPR'!#REF!</definedName>
    <definedName name="NKU" localSheetId="8">'[1]301-KPR'!#REF!</definedName>
    <definedName name="NKU" localSheetId="1">'[1]301-KPR'!#REF!</definedName>
    <definedName name="NKU" localSheetId="7">'[1]301-KPR'!#REF!</definedName>
    <definedName name="NKU">'[1]301-KPR'!#REF!</definedName>
    <definedName name="_xlnm.Print_Area" localSheetId="9">'Finanční majetek'!$A$1:$E$54</definedName>
    <definedName name="_xlnm.Print_Area" localSheetId="3">'Grafy '!$A$1:$AA$212</definedName>
    <definedName name="_xlnm.Print_Area" localSheetId="5">'ICT'!$A$1:$G$21</definedName>
    <definedName name="_xlnm.Print_Area" localSheetId="12">'Investice Projekty'!$A$1:$AC$46</definedName>
    <definedName name="_xlnm.Print_Area" localSheetId="2">'komentář'!$A$1:$B$42</definedName>
    <definedName name="_xlnm.Print_Area" localSheetId="14">'náklady dle čiností'!$A$1:$F$31</definedName>
    <definedName name="_xlnm.Print_Area" localSheetId="10">'Odpisy'!$A$2:$D$35</definedName>
    <definedName name="_xlnm.Print_Area" localSheetId="8">'Plnění rozpočtu a očekávka'!$A$2:$M$98</definedName>
    <definedName name="_xlnm.Print_Area" localSheetId="11">'Plnění rozpočtu_JČ'!$A$2:$L$110</definedName>
    <definedName name="_xlnm.Print_Area" localSheetId="15">'poznámky'!$A$1:$B$34</definedName>
    <definedName name="_xlnm.Print_Area" localSheetId="13">'Projekty a investice'!$D$1:$AB$89</definedName>
    <definedName name="_xlnm.Print_Area" localSheetId="1">'Přehled o rozpočtu_HČ'!$A$1:$Y$98</definedName>
    <definedName name="_xlnm.Print_Area" localSheetId="0">'titul'!$A$4:$J$28</definedName>
    <definedName name="_xlnm.Print_Area" localSheetId="4">'Vybrané položky'!$A$1:$V$58</definedName>
    <definedName name="_xlnm.Print_Area" localSheetId="6">'ZPC'!$A:$I</definedName>
    <definedName name="_xlnm.Print_Area" localSheetId="7">'Zpeněžení DřHm'!$A$2:$H$84</definedName>
    <definedName name="RRTV" localSheetId="3">'[1]301-KPR'!#REF!</definedName>
    <definedName name="RRTV" localSheetId="5">'[1]301-KPR'!#REF!</definedName>
    <definedName name="RRTV" localSheetId="14">'[1]301-KPR'!#REF!</definedName>
    <definedName name="RRTV" localSheetId="8">'[1]301-KPR'!#REF!</definedName>
    <definedName name="RRTV" localSheetId="1">'[1]301-KPR'!#REF!</definedName>
    <definedName name="RRTV" localSheetId="7">'[1]301-KPR'!#REF!</definedName>
    <definedName name="RRTV">'[1]301-KPR'!#REF!</definedName>
    <definedName name="SSHR" localSheetId="3">'[1]301-KPR'!#REF!</definedName>
    <definedName name="SSHR" localSheetId="5">'[1]301-KPR'!#REF!</definedName>
    <definedName name="SSHR" localSheetId="14">'[1]301-KPR'!#REF!</definedName>
    <definedName name="SSHR" localSheetId="8">'[1]301-KPR'!#REF!</definedName>
    <definedName name="SSHR" localSheetId="1">'[1]301-KPR'!#REF!</definedName>
    <definedName name="SSHR" localSheetId="7">'[1]301-KPR'!#REF!</definedName>
    <definedName name="SSHR">'[1]301-KPR'!#REF!</definedName>
    <definedName name="SUJB" localSheetId="3">'[1]301-KPR'!#REF!</definedName>
    <definedName name="SUJB" localSheetId="5">'[1]301-KPR'!#REF!</definedName>
    <definedName name="SUJB" localSheetId="14">'[1]301-KPR'!#REF!</definedName>
    <definedName name="SUJB" localSheetId="8">'[1]301-KPR'!#REF!</definedName>
    <definedName name="SUJB" localSheetId="1">'[1]301-KPR'!#REF!</definedName>
    <definedName name="SUJB" localSheetId="7">'[1]301-KPR'!#REF!</definedName>
    <definedName name="SUJB">'[1]301-KPR'!#REF!</definedName>
    <definedName name="UOHS" localSheetId="3">'[1]301-KPR'!#REF!</definedName>
    <definedName name="UOHS" localSheetId="5">'[1]301-KPR'!#REF!</definedName>
    <definedName name="UOHS" localSheetId="14">'[1]301-KPR'!#REF!</definedName>
    <definedName name="UOHS" localSheetId="8">'[1]301-KPR'!#REF!</definedName>
    <definedName name="UOHS" localSheetId="1">'[1]301-KPR'!#REF!</definedName>
    <definedName name="UOHS" localSheetId="7">'[1]301-KPR'!#REF!</definedName>
    <definedName name="UOHS">'[1]301-KPR'!#REF!</definedName>
    <definedName name="UPV" localSheetId="3">'[1]301-KPR'!#REF!</definedName>
    <definedName name="UPV" localSheetId="5">'[1]301-KPR'!#REF!</definedName>
    <definedName name="UPV" localSheetId="8">'[1]301-KPR'!#REF!</definedName>
    <definedName name="UPV" localSheetId="1">'[1]301-KPR'!#REF!</definedName>
    <definedName name="UPV" localSheetId="7">'[1]301-KPR'!#REF!</definedName>
    <definedName name="UPV">'[1]301-KPR'!#REF!</definedName>
    <definedName name="US" localSheetId="3">'[1]301-KPR'!#REF!</definedName>
    <definedName name="US" localSheetId="5">'[1]301-KPR'!#REF!</definedName>
    <definedName name="US" localSheetId="8">'[1]301-KPR'!#REF!</definedName>
    <definedName name="US" localSheetId="1">'[1]301-KPR'!#REF!</definedName>
    <definedName name="US" localSheetId="7">'[1]301-KPR'!#REF!</definedName>
    <definedName name="US">'[1]301-KPR'!#REF!</definedName>
    <definedName name="USIS" localSheetId="3">'[1]301-KPR'!#REF!</definedName>
    <definedName name="USIS" localSheetId="5">'[1]301-KPR'!#REF!</definedName>
    <definedName name="USIS" localSheetId="8">'[1]301-KPR'!#REF!</definedName>
    <definedName name="USIS" localSheetId="1">'[1]301-KPR'!#REF!</definedName>
    <definedName name="USIS" localSheetId="7">'[1]301-KPR'!#REF!</definedName>
    <definedName name="USIS">'[1]301-KPR'!#REF!</definedName>
    <definedName name="Z_FA039700_E203_4412_9643_91070CE29C6C_.wvu.PrintArea" localSheetId="13" hidden="1">'Projekty a investice'!$A$2:$Y$16</definedName>
  </definedNames>
  <calcPr fullCalcOnLoad="1"/>
</workbook>
</file>

<file path=xl/sharedStrings.xml><?xml version="1.0" encoding="utf-8"?>
<sst xmlns="http://schemas.openxmlformats.org/spreadsheetml/2006/main" count="1306" uniqueCount="673">
  <si>
    <t>P O L O Ž K A</t>
  </si>
  <si>
    <t>Ceniny</t>
  </si>
  <si>
    <t>změna</t>
  </si>
  <si>
    <t>Celkem</t>
  </si>
  <si>
    <t>Odběratelé</t>
  </si>
  <si>
    <t>z toho po splatnosti</t>
  </si>
  <si>
    <t>z toho právně vymáhané</t>
  </si>
  <si>
    <t>Dodavatelé</t>
  </si>
  <si>
    <t>Fond odměn</t>
  </si>
  <si>
    <t>Fond kulturních a sociálních potřeb</t>
  </si>
  <si>
    <t>Rezervní fond - zlepšený HV</t>
  </si>
  <si>
    <t>Rezervní fond - ostatní tituly</t>
  </si>
  <si>
    <t>Fond reprodukce majektu</t>
  </si>
  <si>
    <t>Fondy celkem</t>
  </si>
  <si>
    <t xml:space="preserve">3) prostředky z rozpočtu ÚSC  </t>
  </si>
  <si>
    <t>4) prostředky od příjemců účel.podpory (dary)</t>
  </si>
  <si>
    <t xml:space="preserve">5) prostředky mimo SR (SFŽP)  </t>
  </si>
  <si>
    <t xml:space="preserve">6) prostředky ze zahraničí </t>
  </si>
  <si>
    <t>7) dohadné položky</t>
  </si>
  <si>
    <t>8) transferový podíl</t>
  </si>
  <si>
    <t>9) ostatní</t>
  </si>
  <si>
    <t>2) od poskytovatelů jiných (ze SR)</t>
  </si>
  <si>
    <t>poradenství, právní služby</t>
  </si>
  <si>
    <t>nájemné</t>
  </si>
  <si>
    <t xml:space="preserve">telekomunikace </t>
  </si>
  <si>
    <t>poštovní služby</t>
  </si>
  <si>
    <t>náklady na ICT</t>
  </si>
  <si>
    <t>Materiál na skladě (112)</t>
  </si>
  <si>
    <t>Zboží na skladě (132)</t>
  </si>
  <si>
    <t>Výrobky (123)</t>
  </si>
  <si>
    <t>Ostatní zásoby (139)</t>
  </si>
  <si>
    <t>Zásoby celkem</t>
  </si>
  <si>
    <t>rok:</t>
  </si>
  <si>
    <t xml:space="preserve">ZPRÁVA O  HOSPODAŘENÍ </t>
  </si>
  <si>
    <t xml:space="preserve">období: </t>
  </si>
  <si>
    <t xml:space="preserve">leden - </t>
  </si>
  <si>
    <t>1) od zřizovatele</t>
  </si>
  <si>
    <t>účetní odpisy</t>
  </si>
  <si>
    <t>daňové odpisy</t>
  </si>
  <si>
    <t>rozdíl</t>
  </si>
  <si>
    <t/>
  </si>
  <si>
    <t>Spotřeba materiálu</t>
  </si>
  <si>
    <t>501</t>
  </si>
  <si>
    <t>Spotřeba energie</t>
  </si>
  <si>
    <t>502</t>
  </si>
  <si>
    <t>Spotřeba jiných neskladovatelných dodávek</t>
  </si>
  <si>
    <t>503</t>
  </si>
  <si>
    <t>Prodané zboží</t>
  </si>
  <si>
    <t>504</t>
  </si>
  <si>
    <t>Aktivace dlouhodobého majetku</t>
  </si>
  <si>
    <t>506</t>
  </si>
  <si>
    <t>Aktivace oběžného majetku</t>
  </si>
  <si>
    <t>507</t>
  </si>
  <si>
    <t>Změna stavu zásob vlastní výroby</t>
  </si>
  <si>
    <t>508</t>
  </si>
  <si>
    <t>Opravy a udržování</t>
  </si>
  <si>
    <t>511</t>
  </si>
  <si>
    <t>Cestovné</t>
  </si>
  <si>
    <t>512</t>
  </si>
  <si>
    <t>Náklady na reprezentaci</t>
  </si>
  <si>
    <t>513</t>
  </si>
  <si>
    <t>Aktivace vnitroorganizačních služeb</t>
  </si>
  <si>
    <t>516</t>
  </si>
  <si>
    <t>Ostatní služby</t>
  </si>
  <si>
    <t>518</t>
  </si>
  <si>
    <t>Mzdové náklady</t>
  </si>
  <si>
    <t>521</t>
  </si>
  <si>
    <t>Zákonné sociální pojištění</t>
  </si>
  <si>
    <t>524</t>
  </si>
  <si>
    <t>Jiné sociální pojištění</t>
  </si>
  <si>
    <t>525</t>
  </si>
  <si>
    <t>Zákonné sociální náklady</t>
  </si>
  <si>
    <t>527</t>
  </si>
  <si>
    <t>Jiné sociální náklady</t>
  </si>
  <si>
    <t>528</t>
  </si>
  <si>
    <t>Daň silniční</t>
  </si>
  <si>
    <t>531</t>
  </si>
  <si>
    <t>Daň z nemovitostí</t>
  </si>
  <si>
    <t>532</t>
  </si>
  <si>
    <t>Jiné daně a poplatky</t>
  </si>
  <si>
    <t>538</t>
  </si>
  <si>
    <t>Smluvní pokuty a úroky z prodlení</t>
  </si>
  <si>
    <t>541</t>
  </si>
  <si>
    <t>Jiné pokuty a penále</t>
  </si>
  <si>
    <t>542</t>
  </si>
  <si>
    <t>Dary</t>
  </si>
  <si>
    <t>543</t>
  </si>
  <si>
    <t>Prodaný materiál</t>
  </si>
  <si>
    <t>544</t>
  </si>
  <si>
    <t>Manka a škody</t>
  </si>
  <si>
    <t>547</t>
  </si>
  <si>
    <t>Tvorba fondů</t>
  </si>
  <si>
    <t>548</t>
  </si>
  <si>
    <t>Odpisy dlouhodobého majetku</t>
  </si>
  <si>
    <t>551</t>
  </si>
  <si>
    <t>Prodaný dlouhodobý nehmotný majetek</t>
  </si>
  <si>
    <t>552</t>
  </si>
  <si>
    <t>Prodaný dlouhodobý hmotný majetek</t>
  </si>
  <si>
    <t>553</t>
  </si>
  <si>
    <t>Prodané pozemky</t>
  </si>
  <si>
    <t>554</t>
  </si>
  <si>
    <t>Tvorba a zúčtování rezerv</t>
  </si>
  <si>
    <t>555</t>
  </si>
  <si>
    <t>Tvorba a zúčtování opravných položek</t>
  </si>
  <si>
    <t>556</t>
  </si>
  <si>
    <t>Náklady z vyřazených pohledávek</t>
  </si>
  <si>
    <t>557</t>
  </si>
  <si>
    <t>Náklady z drobného dlouhodobého majetku</t>
  </si>
  <si>
    <t>558</t>
  </si>
  <si>
    <t>Ostatní náklady z činnosti</t>
  </si>
  <si>
    <t>549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</si>
  <si>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</si>
  <si>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</si>
  <si>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</si>
  <si>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</si>
  <si>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</si>
  <si>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</si>
  <si>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</si>
  <si>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</si>
  <si>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</si>
  <si>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</si>
  <si>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Náklady vybraných ústředních vládních institucí na transfery</t>
  </si>
  <si>
    <t>571</t>
  </si>
  <si>
    <t>Náklady vybraných místních vládních institucí na transfery</t>
  </si>
  <si>
    <t>572</t>
  </si>
  <si>
    <t>Daň z příjmů</t>
  </si>
  <si>
    <t>591</t>
  </si>
  <si>
    <t>Dodatečné odvody daně z příjmů</t>
  </si>
  <si>
    <t>595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</si>
  <si>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</si>
  <si>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</si>
  <si>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</si>
  <si>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</si>
  <si>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</si>
  <si>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</si>
  <si>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</si>
  <si>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</si>
  <si>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</si>
  <si>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</si>
  <si>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</si>
  <si>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</si>
  <si>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</si>
  <si>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</si>
  <si>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</si>
  <si>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</si>
  <si>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</si>
  <si>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</si>
  <si>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</si>
  <si>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</si>
  <si>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</si>
  <si>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</si>
  <si>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</si>
  <si>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</si>
  <si>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</si>
  <si>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</si>
  <si>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</si>
  <si>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</si>
  <si>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</si>
  <si>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</si>
  <si>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</si>
  <si>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</si>
  <si>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</si>
  <si>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</si>
  <si>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Výnosy vybraných ústředních vládních institucí z transferů</t>
  </si>
  <si>
    <t>671</t>
  </si>
  <si>
    <t>Výnosy vybraných místních vládních institucí z transferů</t>
  </si>
  <si>
    <t>672</t>
  </si>
  <si>
    <t>Poznámky:</t>
  </si>
  <si>
    <t xml:space="preserve">1.) Do sloupců "D" a "E" se uvedou skutečné hodnoty čerpání nákladů a tvorby výnosů příslušného roku za sledované období. </t>
  </si>
  <si>
    <t>celkem</t>
  </si>
  <si>
    <t>bez projektů, zakázek a ISPROFIN</t>
  </si>
  <si>
    <t>plnění rozpočtu</t>
  </si>
  <si>
    <t>Očekávaná skutečnost  (OS)</t>
  </si>
  <si>
    <t>Rozdíl 
OS-R</t>
  </si>
  <si>
    <t>rozpočet
( R )</t>
  </si>
  <si>
    <t>Č. pol.</t>
  </si>
  <si>
    <r>
      <t>Náklady na transfery</t>
    </r>
    <r>
      <rPr>
        <b/>
        <sz val="11"/>
        <rFont val="Times New Roman"/>
        <family val="1"/>
      </rPr>
      <t xml:space="preserve">  (součet položek 45 a 46) </t>
    </r>
  </si>
  <si>
    <r>
      <t>Daň z příjmů</t>
    </r>
    <r>
      <rPr>
        <b/>
        <sz val="11"/>
        <rFont val="Times New Roman"/>
        <family val="1"/>
      </rPr>
      <t xml:space="preserve"> (součet položek 48 a 49)</t>
    </r>
  </si>
  <si>
    <r>
      <t xml:space="preserve">Finanční náklady  </t>
    </r>
    <r>
      <rPr>
        <b/>
        <sz val="11"/>
        <rFont val="Times New Roman"/>
        <family val="1"/>
      </rPr>
      <t>(ř.39 až ř.43)</t>
    </r>
  </si>
  <si>
    <t>Náklady z činnosti  (ř.3 až ř.37)</t>
  </si>
  <si>
    <r>
      <t xml:space="preserve">NÁKLADY   CELKEM </t>
    </r>
    <r>
      <rPr>
        <sz val="12"/>
        <color indexed="8"/>
        <rFont val="Times New Roman"/>
        <family val="1"/>
      </rPr>
      <t xml:space="preserve"> (ř.2+ř.38+ř.44+ř.47)  </t>
    </r>
  </si>
  <si>
    <r>
      <t xml:space="preserve"> VÝNOSY   CELKEM </t>
    </r>
    <r>
      <rPr>
        <sz val="14"/>
        <color indexed="8"/>
        <rFont val="Times New Roman"/>
        <family val="1"/>
      </rPr>
      <t xml:space="preserve">(ř. 51+ř.66+ř.72)  </t>
    </r>
    <r>
      <rPr>
        <b/>
        <sz val="14"/>
        <color indexed="8"/>
        <rFont val="Times New Roman"/>
        <family val="1"/>
      </rPr>
      <t xml:space="preserve">                  </t>
    </r>
  </si>
  <si>
    <r>
      <t xml:space="preserve">Výnosy z činnosti  </t>
    </r>
    <r>
      <rPr>
        <sz val="12"/>
        <rFont val="Times New Roman"/>
        <family val="1"/>
      </rPr>
      <t>(ř.52 až ř.65)</t>
    </r>
  </si>
  <si>
    <t>Výnosy z prodeje dl. hmotného majetku kromě pozemků</t>
  </si>
  <si>
    <r>
      <t xml:space="preserve">Finanční výnosy  </t>
    </r>
    <r>
      <rPr>
        <sz val="11"/>
        <rFont val="Times New Roman"/>
        <family val="1"/>
      </rPr>
      <t>(ř.67 až ř.71)</t>
    </r>
  </si>
  <si>
    <r>
      <t xml:space="preserve">Výnosy z transferů </t>
    </r>
    <r>
      <rPr>
        <sz val="11"/>
        <rFont val="Times New Roman"/>
        <family val="1"/>
      </rPr>
      <t>(ř.73+ř.74)</t>
    </r>
  </si>
  <si>
    <r>
      <t xml:space="preserve">VÝSLEDEK   HOSPODAŘENÍ
</t>
    </r>
    <r>
      <rPr>
        <sz val="11"/>
        <rFont val="Times New Roman"/>
        <family val="1"/>
      </rPr>
      <t>(ř.50 - ř.2 - ř.38 - ř.44)</t>
    </r>
  </si>
  <si>
    <t>odchylka</t>
  </si>
  <si>
    <t>Kancelářské potřeby</t>
  </si>
  <si>
    <t>Pozn.:</t>
  </si>
  <si>
    <t>Ostatní</t>
  </si>
  <si>
    <t>doplňte další významné položky, aby položka "ostatní" činila pouze 20% celkových nákladů skupiny</t>
  </si>
  <si>
    <t>SPOTŘEBA MATERIÁLU</t>
  </si>
  <si>
    <t>OSTATNÍ SLUŽBY</t>
  </si>
  <si>
    <t>NÁKLADY</t>
  </si>
  <si>
    <t>VÝNOSY</t>
  </si>
  <si>
    <t>VÝNOSY Z PRODEJE SLUŽEB</t>
  </si>
  <si>
    <t>I.</t>
  </si>
  <si>
    <t>II.</t>
  </si>
  <si>
    <t>III.</t>
  </si>
  <si>
    <t>IV.</t>
  </si>
  <si>
    <t>V.</t>
  </si>
  <si>
    <t>VI.</t>
  </si>
  <si>
    <t>CELKEM</t>
  </si>
  <si>
    <t>odpisová skupina</t>
  </si>
  <si>
    <t>poslední měsíc čtvrtletí, za který se report předkládá</t>
  </si>
  <si>
    <t>rok</t>
  </si>
  <si>
    <t>údaje se automaticky přenesou do všech tabulek</t>
  </si>
  <si>
    <t xml:space="preserve">vyplňte  název organizace, </t>
  </si>
  <si>
    <t>list</t>
  </si>
  <si>
    <t>titul</t>
  </si>
  <si>
    <t>sloupec "I" = hodnoty schváleného rozpočtu nebo poslední změny rozpočtu schválené zřizovatelem pro příslušný rok.</t>
  </si>
  <si>
    <t>slopec  "K" =  hodnoty očekávaného plnění rozpočtu daného roku. Tyto hodnoty budou upřesněny při zpracování účetní závěrky k 30.6 a 30.9. daného roku</t>
  </si>
  <si>
    <t>Vybrané položky</t>
  </si>
  <si>
    <t>hodnoty za dané syntetické účty jsou přeneseny z přehledu o rozpočtu nákladů a výnosů</t>
  </si>
  <si>
    <t>Plnění rozpočtu_komentář</t>
  </si>
  <si>
    <t>uveďte zdůvodnění překročení nákladů nebo nižšího plnění výnosů do textového pole</t>
  </si>
  <si>
    <t>upravte tabulky tak, aby neobsahovaly prázdné řádky</t>
  </si>
  <si>
    <t>Odpisy</t>
  </si>
  <si>
    <t>hodnoty pro očekávanou skutečnost se uvádějí u reportu za 2. a 3. čtvrtletí</t>
  </si>
  <si>
    <t>Plnění rozpočtu_JČ</t>
  </si>
  <si>
    <t>Průměrná tržba za prodej 1 m3   (PRT)</t>
  </si>
  <si>
    <t>Průměrné náklady na 1 m3 prodané dřevní hmoty (PRN2)</t>
  </si>
  <si>
    <t>Průměrné náklady na 1 m3 vyrobené dřevní hmoty (PRN1)</t>
  </si>
  <si>
    <t>Úplné vlastní náklady</t>
  </si>
  <si>
    <t>Správní režie</t>
  </si>
  <si>
    <t>Odbytová režie</t>
  </si>
  <si>
    <t>Vlastní náklady výroby</t>
  </si>
  <si>
    <t>Výrobní režie</t>
  </si>
  <si>
    <t>Náklady na přepravu dřevní hmoty</t>
  </si>
  <si>
    <t>Náklady na přibližování - lanovky</t>
  </si>
  <si>
    <t>Náklady na přibližování - samostatné vyvážecí soupravy</t>
  </si>
  <si>
    <t>Náklady na přibližování - UKT a SLKT</t>
  </si>
  <si>
    <t>Náklady na přibližování - koně</t>
  </si>
  <si>
    <t>Náklady na manipulaci dřevní hmoty</t>
  </si>
  <si>
    <t>Náklady na těžbu dřevní hmoty - harvestory</t>
  </si>
  <si>
    <t>Náklady na těžbu dřevní hmoty - komplexní na OM</t>
  </si>
  <si>
    <t>Náklady na těžbu dřevní hmoty - JMP</t>
  </si>
  <si>
    <t>Rozdíl  PRT-PRN2</t>
  </si>
  <si>
    <t>Kč/m3</t>
  </si>
  <si>
    <t>jednotky</t>
  </si>
  <si>
    <t>tis. Kč</t>
  </si>
  <si>
    <t>m3</t>
  </si>
  <si>
    <t>v případě potřeby rozšiřte tabulku o další řádky, v tomto případě zkontrolujte vzorec pro položku ostatní, zda obsahuje odpočet všech výše uvedených položek</t>
  </si>
  <si>
    <t>JEHLIČNATÁ</t>
  </si>
  <si>
    <t>listy jsou naformátovány k tisku, pouze u listu "Plnění rozpočt_komentář" je nutno zkontrolovat oblast tisku - bude záviset na délce komentáře</t>
  </si>
  <si>
    <t>POZNÁMKY</t>
  </si>
  <si>
    <t>Tržby z prodeje dřevní hmoty (601141)</t>
  </si>
  <si>
    <r>
      <t xml:space="preserve"> VÝNOSY   CELKEM </t>
    </r>
    <r>
      <rPr>
        <sz val="11"/>
        <color indexed="8"/>
        <rFont val="Times New Roman"/>
        <family val="1"/>
      </rPr>
      <t xml:space="preserve">(ř. 51+ř.66+ř.72)  </t>
    </r>
    <r>
      <rPr>
        <b/>
        <sz val="11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               </t>
    </r>
  </si>
  <si>
    <r>
      <t xml:space="preserve">Náklady z činnosti  </t>
    </r>
    <r>
      <rPr>
        <sz val="11"/>
        <rFont val="Times New Roman"/>
        <family val="1"/>
      </rPr>
      <t>(ř.3 až ř.37)</t>
    </r>
  </si>
  <si>
    <r>
      <t xml:space="preserve">NÁKLADY   CELKEM </t>
    </r>
    <r>
      <rPr>
        <sz val="11"/>
        <color indexed="8"/>
        <rFont val="Times New Roman"/>
        <family val="1"/>
      </rPr>
      <t xml:space="preserve"> (ř.2+ř.38+ř.44+ř.47)  </t>
    </r>
  </si>
  <si>
    <r>
      <t xml:space="preserve">Finanční náklady </t>
    </r>
    <r>
      <rPr>
        <sz val="11"/>
        <rFont val="Times New Roman"/>
        <family val="1"/>
      </rPr>
      <t xml:space="preserve"> (ř.39 až ř.43)</t>
    </r>
  </si>
  <si>
    <r>
      <t>Náklady na transfery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(ř. 45 + ř.46) </t>
    </r>
  </si>
  <si>
    <r>
      <t>Daň z příjmů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(ř. 48 + ř.</t>
    </r>
    <r>
      <rPr>
        <b/>
        <sz val="11"/>
        <rFont val="Times New Roman"/>
        <family val="1"/>
      </rPr>
      <t xml:space="preserve">49) </t>
    </r>
  </si>
  <si>
    <r>
      <t xml:space="preserve">Výnosy z činnosti  </t>
    </r>
    <r>
      <rPr>
        <sz val="11"/>
        <rFont val="Times New Roman"/>
        <family val="1"/>
      </rPr>
      <t>(ř.52 až ř.65)</t>
    </r>
  </si>
  <si>
    <r>
      <t xml:space="preserve">Finanční výnosy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(ř.67 až ř.71)</t>
    </r>
  </si>
  <si>
    <r>
      <t xml:space="preserve">Výnosy z transferů </t>
    </r>
    <r>
      <rPr>
        <sz val="10"/>
        <rFont val="Times New Roman"/>
        <family val="1"/>
      </rPr>
      <t>(ř.73+ř.74)</t>
    </r>
  </si>
  <si>
    <t>programové financování 115V021, 023, 024</t>
  </si>
  <si>
    <t>PPK</t>
  </si>
  <si>
    <t>POPFK</t>
  </si>
  <si>
    <t>v Kč</t>
  </si>
  <si>
    <t>projekty, zakázky, ISPROFIN</t>
  </si>
  <si>
    <t>odchylka 2017-2016</t>
  </si>
  <si>
    <r>
      <t>VÝSLEDEK   HOSPODAŘENÍ  po zdanění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(ř. 50 - ř.1)</t>
    </r>
  </si>
  <si>
    <t>od poskytovatelů jiných (ze SR)</t>
  </si>
  <si>
    <t xml:space="preserve">prostředky z rozpočtu ÚSC  </t>
  </si>
  <si>
    <t>prostředky od příjemců účel.podpory (dary)</t>
  </si>
  <si>
    <t xml:space="preserve">prostředky mimo SR (SFŽP)  </t>
  </si>
  <si>
    <t xml:space="preserve">prostředky ze zahraničí </t>
  </si>
  <si>
    <t>dohadné položky</t>
  </si>
  <si>
    <t>transferový podíl</t>
  </si>
  <si>
    <t>Upravený rozpočet
( UR )</t>
  </si>
  <si>
    <t>Schválený rozpočet
( SR )</t>
  </si>
  <si>
    <t>Kč</t>
  </si>
  <si>
    <t>LISTNATÁ</t>
  </si>
  <si>
    <r>
      <t xml:space="preserve">Stav zásob dřevní hmoty </t>
    </r>
    <r>
      <rPr>
        <sz val="12"/>
        <color indexed="8"/>
        <rFont val="Times New Roman"/>
        <family val="1"/>
      </rPr>
      <t>- počátek kvartálu</t>
    </r>
  </si>
  <si>
    <t>Objem vytěžené dřevní hmoty</t>
  </si>
  <si>
    <t xml:space="preserve">Objem prodané dřevní hmoty </t>
  </si>
  <si>
    <r>
      <t>Stav zásob dřevní hmoty</t>
    </r>
    <r>
      <rPr>
        <sz val="12"/>
        <color indexed="8"/>
        <rFont val="Times New Roman"/>
        <family val="1"/>
      </rPr>
      <t>- konec kvartálu</t>
    </r>
  </si>
  <si>
    <t xml:space="preserve">    KOMENTÁŘ K PLNĚNÍ ROZPOČTU</t>
  </si>
  <si>
    <t>PRŮMĚRNÉ ZPENĚŽENÍ PRODEJE DŘEVNÍ HMOTY</t>
  </si>
  <si>
    <t>předkládá se pouze za 2., 3. a 4. čtvrtletí</t>
  </si>
  <si>
    <t>předkládá se pouze v rámci ročního hodnocení</t>
  </si>
  <si>
    <t>do tabulky vyplňte odhad ročních daňových a účetních odpisů a v případě převisu účetních odpisů popiště dopad do výsledku</t>
  </si>
  <si>
    <t>Plnění rozpočtu a očekávka</t>
  </si>
  <si>
    <t xml:space="preserve">tabulka se předkládá u reportu za 2. a 3. čtvrtletí a rok, v případě, kdy je k 30.9. vykázána z jiné činnosti ztráta, v komentáři uveďte opatření </t>
  </si>
  <si>
    <t>jen 2. a 3. Q</t>
  </si>
  <si>
    <t>jen 2.,3. a 4 Q</t>
  </si>
  <si>
    <t>ostatní</t>
  </si>
  <si>
    <t>Zpeněžení DřHm</t>
  </si>
  <si>
    <t>tabulku předkládají pouze NP</t>
  </si>
  <si>
    <t>hodnoty vyplňujte v Kč</t>
  </si>
  <si>
    <t>součtové hodnoty a vzorce jsou ve většině případů předvyplněny</t>
  </si>
  <si>
    <t>PŘEHLED O ROZPOČTU NÁKLADŮ A VÝNOSŮ - HLAVNÍ ČINNOST</t>
  </si>
  <si>
    <r>
      <t>ANALÝZA VYBRANÝCH POLOŽEK  HLAVNÍ ČINNOSTI</t>
    </r>
    <r>
      <rPr>
        <b/>
        <sz val="12"/>
        <color indexed="8"/>
        <rFont val="Times New Roman"/>
        <family val="1"/>
      </rPr>
      <t xml:space="preserve"> </t>
    </r>
  </si>
  <si>
    <t>FINANČNÍ MAJETEK</t>
  </si>
  <si>
    <t>PLÁN ÚČETNÍCH A DAŇOVÝCH ODPISŮ</t>
  </si>
  <si>
    <t>PLNĚNÍ ROZPOČTU A OČEKÁVKA - HLAVNÍ ČINNOST</t>
  </si>
  <si>
    <t xml:space="preserve">PŘEHLED O ROZPOČTU NÁKLADŮ A VÝNOSŮ - JINÁ ČINNOST  </t>
  </si>
  <si>
    <t>jmenovitě jsou uvedeny investiční akce s celkovou výší investičních výdajů vyšší než 1 mil. Kč</t>
  </si>
  <si>
    <t>zdroje SPO</t>
  </si>
  <si>
    <t>další</t>
  </si>
  <si>
    <t>celkové investiční výdaje</t>
  </si>
  <si>
    <t xml:space="preserve">programové financování </t>
  </si>
  <si>
    <t>dotace EHP/FM</t>
  </si>
  <si>
    <t>OPŽP</t>
  </si>
  <si>
    <t>LIFE, INTERREG</t>
  </si>
  <si>
    <t>INVESTICE</t>
  </si>
  <si>
    <t>PROJEKTY</t>
  </si>
  <si>
    <t>celkové  výdaje</t>
  </si>
  <si>
    <t xml:space="preserve">v Kč </t>
  </si>
  <si>
    <t>jmenovitě jsou uvedeny projekty s celkovou výší výdajů vyšší než 1 mil. Kč</t>
  </si>
  <si>
    <t>INVESTICE a PROJEKTY</t>
  </si>
  <si>
    <t>u všech syntetických účtů doplňte další položky tak, aby položka ostatní činila max. 20% z celkové hodnoty, pro kontrolu můžete využít přednastavený vzorec ve sloupci "R", pokud bude položka ostatní větší než 20%, buňka bude červeně signalizovat, že je třeba ještě doplnit další položku</t>
  </si>
  <si>
    <t>ZAHRANIČNÍ PRACOVNÍ CESTY</t>
  </si>
  <si>
    <t>Doba trvání</t>
  </si>
  <si>
    <t>Místo konání</t>
  </si>
  <si>
    <t>Důvod pracov. cesty</t>
  </si>
  <si>
    <t>Zhodnocení přínosu</t>
  </si>
  <si>
    <t>Počet účastníků</t>
  </si>
  <si>
    <t>Náklady celkem</t>
  </si>
  <si>
    <t>Vlastní zdroje</t>
  </si>
  <si>
    <t>Cizí zdroje</t>
  </si>
  <si>
    <t>Identifikace cizího zdroje</t>
  </si>
  <si>
    <t>ANALÝZA NÁKLADŮ ICT</t>
  </si>
  <si>
    <t>předkládá se pouze v raportu za 2. a 3. čtvrtletí</t>
  </si>
  <si>
    <t>předkládá se pouze za 2. a 3. čtvrtletí</t>
  </si>
  <si>
    <t>OPRAVY A UDRŽOVÁNÍ</t>
  </si>
  <si>
    <t>dopravní prostředky</t>
  </si>
  <si>
    <t xml:space="preserve">celkem náklady
</t>
  </si>
  <si>
    <t xml:space="preserve">OPŽP </t>
  </si>
  <si>
    <t>dotace MŠMT</t>
  </si>
  <si>
    <t>LIFE</t>
  </si>
  <si>
    <t>INTERREG</t>
  </si>
  <si>
    <t>jiné dotace z EU</t>
  </si>
  <si>
    <t>SR program 115V02</t>
  </si>
  <si>
    <t>SR program 115V320</t>
  </si>
  <si>
    <t>Jiné zdroje MŽP</t>
  </si>
  <si>
    <t>zdroje PO</t>
  </si>
  <si>
    <t>zbývá k dofinancování</t>
  </si>
  <si>
    <t>PROJEKT/INVESTIČNÍ AKCE</t>
  </si>
  <si>
    <t>PŘEHLED PROJEKTŮ A INVESTIČNÍCH AKCÍ</t>
  </si>
  <si>
    <t>jen 4. Q</t>
  </si>
  <si>
    <t>předkládá se pouze za  4. čtvrtletí</t>
  </si>
  <si>
    <t>v Kč vč. DPH</t>
  </si>
  <si>
    <t>ANALÝZA NÁKLADŮ DLE ČINNOSTÍ</t>
  </si>
  <si>
    <t>činnost dle ZL</t>
  </si>
  <si>
    <r>
      <t xml:space="preserve">VÝSLEDEK   HOSPODAŘENÍ  po zdanění
</t>
    </r>
    <r>
      <rPr>
        <sz val="11"/>
        <rFont val="Times New Roman"/>
        <family val="1"/>
      </rPr>
      <t>(ř.50 - ř.1)</t>
    </r>
  </si>
  <si>
    <t xml:space="preserve">STAV KRÁTKODOBÉHO FINANČNÍHO MAJETKU  (v Kč)  </t>
  </si>
  <si>
    <t xml:space="preserve">STAV POHLEDÁVEK  A  ZÁVAZKŮ Z OBCHODNÍHO STYKU (v Kč)  </t>
  </si>
  <si>
    <t xml:space="preserve">STAV FONDŮ  (v Kč)  </t>
  </si>
  <si>
    <t xml:space="preserve">ZÁSOBY  (v Kč)  </t>
  </si>
  <si>
    <t xml:space="preserve">Projekty a investice </t>
  </si>
  <si>
    <t>jen v rámci roční zprávy</t>
  </si>
  <si>
    <t>Náklady dle činností</t>
  </si>
  <si>
    <t>uveďte činnosti dle zřizovací listiny a jejich náklady v letech</t>
  </si>
  <si>
    <t>název dokumentu:</t>
  </si>
  <si>
    <t>XXXX= kalendářní rok, na který se připravuje návrh rozpočtu</t>
  </si>
  <si>
    <t xml:space="preserve">Y = číslo čtvrtletí </t>
  </si>
  <si>
    <t>tj. např. 2017_1Q_CENIA = zpráva za 1. čtvrtletí 2017 CENIA</t>
  </si>
  <si>
    <t>XXXX_YQ_jménoorg.</t>
  </si>
  <si>
    <t>jménoorg. = zkratka organizace</t>
  </si>
  <si>
    <t>PHM</t>
  </si>
  <si>
    <t xml:space="preserve">1.) Do sloupců "D" a "G" se uvedou skutečné hodnoty čerpání nákladů a tvorby výnosů příslušného roku za sledované období. </t>
  </si>
  <si>
    <t xml:space="preserve">2.) Do sloupce "J" se uvedou hodnoty čerpání a tvorby rozpočtu za sledované období. </t>
  </si>
  <si>
    <t>2.) Do sloupce "G" se uvedou hodnoty schváleného rozpočtu zřizovatelem pro příslušný rok.</t>
  </si>
  <si>
    <t xml:space="preserve">3.) Do sloupce "H" se uvedou hodnoty poslední úpravy rozpočtu schválené zřizovatelem za příslušné rozpočtové období. </t>
  </si>
  <si>
    <t>4.) Do sloupce "J" budou hodnoty očekávaného plnění rozpočtu daného roku. Tyto hodnoty budou upřesněny vykazující jednotkou při zpracování účetní závěrky k 30.6 a 30.9. daného roku</t>
  </si>
  <si>
    <t>předkládá pouze SNP Podyjí</t>
  </si>
  <si>
    <t>předkládájí všechny SNP</t>
  </si>
  <si>
    <r>
      <t xml:space="preserve">Výnosy z transferů </t>
    </r>
    <r>
      <rPr>
        <b/>
        <sz val="10"/>
        <rFont val="Times New Roman"/>
        <family val="1"/>
      </rPr>
      <t>(ř.73+ř.74)</t>
    </r>
  </si>
  <si>
    <t>programové financování 115V120</t>
  </si>
  <si>
    <t>programové financování 115V022</t>
  </si>
  <si>
    <t>Tužsko, hospodaření v lesích, NF</t>
  </si>
  <si>
    <t>Ochranné pracovní pomůcky (SU 527)</t>
  </si>
  <si>
    <t>Sazenice</t>
  </si>
  <si>
    <t>Stavební materiál</t>
  </si>
  <si>
    <t>Čistící a konz.prostředky</t>
  </si>
  <si>
    <t>Propagační materiál</t>
  </si>
  <si>
    <t>Náhradní díly</t>
  </si>
  <si>
    <t>Uniformy</t>
  </si>
  <si>
    <t>Krmivo</t>
  </si>
  <si>
    <t>provozní budovy a stavby</t>
  </si>
  <si>
    <t>bytové a ubytovací stavby</t>
  </si>
  <si>
    <t>účelové komunikace - chodníky</t>
  </si>
  <si>
    <t>lesní cesty a svážnice</t>
  </si>
  <si>
    <t>stroje, přístroje a zařízení</t>
  </si>
  <si>
    <t>drobné vodní toky</t>
  </si>
  <si>
    <t>škody</t>
  </si>
  <si>
    <t>muzea</t>
  </si>
  <si>
    <t>ochrana lesa</t>
  </si>
  <si>
    <t>školení (SU 527)</t>
  </si>
  <si>
    <t>těžba dříví a související</t>
  </si>
  <si>
    <t>vstupné</t>
  </si>
  <si>
    <t>časopis Krkonoše</t>
  </si>
  <si>
    <t>kursy a vzdělávání</t>
  </si>
  <si>
    <t>SU 501 - ND, kanc.mat., dr.předměty bez ev.</t>
  </si>
  <si>
    <t>SU 511</t>
  </si>
  <si>
    <t>SU 518 - podpory, aktual SW</t>
  </si>
  <si>
    <t>SU 518 - nájem kopírky (od 2015 výkon 700)</t>
  </si>
  <si>
    <t>SU 518 - DNHM</t>
  </si>
  <si>
    <t>SU 549 - tech.zhodnocení</t>
  </si>
  <si>
    <t>SU 551 - odpisy nehm.dl.majetku</t>
  </si>
  <si>
    <t>SU 551 - odpisy DHM</t>
  </si>
  <si>
    <t>SU 551 - zůst.cena vyř. DHM</t>
  </si>
  <si>
    <t>SU 558</t>
  </si>
  <si>
    <t>Německo</t>
  </si>
  <si>
    <t>Europarc</t>
  </si>
  <si>
    <t>Veletrh IWA</t>
  </si>
  <si>
    <t>Slovensko</t>
  </si>
  <si>
    <t>VII.</t>
  </si>
  <si>
    <t>skutečnost 2017</t>
  </si>
  <si>
    <t>z toho  základní neinvestiční příspěvek na činnost</t>
  </si>
  <si>
    <t>ostatní neinvestiční příspěvek na činnost</t>
  </si>
  <si>
    <t>Rozdíl 
OS-UR</t>
  </si>
  <si>
    <t>Správa Krkonošského národního parku</t>
  </si>
  <si>
    <t>Gruzie</t>
  </si>
  <si>
    <t>Belgie</t>
  </si>
  <si>
    <t>1.státní správa v ochraně přírody a krajiny na území NP a jeho OP</t>
  </si>
  <si>
    <t>3. odborná činnost v oboru ochrany přírody na území NP a jeho OP</t>
  </si>
  <si>
    <t>4. odborná činnost v oborech lesnictví, zemědělství, vodního hospodářství, územního plánování, stavebního řádu, regionálního rozvoje, hospodaření s odpady a podobně, na území NP a jeho OP</t>
  </si>
  <si>
    <t>5. hospodaření v lesích NP a jeho OP, včetně navazujících činností viz ZL</t>
  </si>
  <si>
    <t>6. monitoring přírodního prosředí</t>
  </si>
  <si>
    <t>7. koordinační a metodická činnost v oblasti vědy, výzkumu a monitoringu</t>
  </si>
  <si>
    <t>8. poradenství, metodická a znalecká činnost v oboru ochrany přírody a ŽP</t>
  </si>
  <si>
    <t>9. provozování návštěvnických středisek a zařízení specializovaných na ekologickou výchovu, informačn ía průvodcovská činnost</t>
  </si>
  <si>
    <t>10. propagační a publikační činnost v oboru ochrany přírody a ŽP</t>
  </si>
  <si>
    <t>11. provoz muzeí a dokumntační činnost</t>
  </si>
  <si>
    <t>12. usměrňování a regulace dopravy, návštěvnosti a jiných aktivit na území NP a jeho OP, provozování parkovišť, autokempů a tábořišť</t>
  </si>
  <si>
    <t>13. výkon odborné správy lesů na území NP a jeho OP</t>
  </si>
  <si>
    <t>14. výkon práva myslivosti ve vlastních honitbách a výkon práva rybářství na území NP včetně navazující zahraničně obchodní činnosti</t>
  </si>
  <si>
    <t>Hospodářská činnost</t>
  </si>
  <si>
    <t>položky 6, 7 a 8 bez konkrétního odděleného sledování, na těchto činnostech se podílejí všechny odbory napříč Správou Krnap dle spec.pořeby dané problematiky</t>
  </si>
  <si>
    <t>položky 1, 2 a 4 vrámci jednoho odboru (odbor státní správy) není evidováno odděleně</t>
  </si>
  <si>
    <t>2. státní správa LH, myslivosti, rybářství a ochrany ZPF na území NP</t>
  </si>
  <si>
    <t>položka 13 je vykonávána souběžně s činnostmi v položce 5</t>
  </si>
  <si>
    <t>Obnova samořídících funkcí lesních ekosystémů KRNAP ajeho OP v podmínkách trvající imisní zátěže</t>
  </si>
  <si>
    <t>Revitalizace vodního režimu</t>
  </si>
  <si>
    <t>Prořezávka klečových porostů - I. zóna KRNAP - fáze III</t>
  </si>
  <si>
    <r>
      <t xml:space="preserve">Management krkonošských luk
</t>
    </r>
    <r>
      <rPr>
        <i/>
        <sz val="11"/>
        <color indexed="8"/>
        <rFont val="Calibri"/>
        <family val="2"/>
      </rPr>
      <t>Nastavení systému péče o ohrožené luční porosty v III. zóne KRNAP a jeho ochranného pásma * (společné řešení se záměrem 5 a 22)</t>
    </r>
  </si>
  <si>
    <t>Využití elitních genetických zdrojů smrku ztepilého a jedle bělokoré pro zvýšení stability lesních ekosystémů Krkonoš</t>
  </si>
  <si>
    <t>Rekonstrukce a zpřístupnění genetické banky</t>
  </si>
  <si>
    <t>Revitalizace území - tetřevinec Sokolka</t>
  </si>
  <si>
    <t>Vodní toky</t>
  </si>
  <si>
    <t>Systémové zastavení pokračující degradace unikátních ekosystémů arkto-alpínské tundry prostřednictvím odstranění historicky nevhodně použitého materiálu při budování cest v I. zóně NP</t>
  </si>
  <si>
    <t>Usměrnění návštěvnosti vzhledem k zájmům ochrany přírody - IV</t>
  </si>
  <si>
    <r>
      <t xml:space="preserve">Propagace Krkonoš
</t>
    </r>
    <r>
      <rPr>
        <i/>
        <sz val="11"/>
        <color indexed="8"/>
        <rFont val="Calibri"/>
        <family val="2"/>
      </rPr>
      <t>Partner KRNAP (společně 12,13 a 39)</t>
    </r>
  </si>
  <si>
    <r>
      <t xml:space="preserve">Výchovou a osvětou k ochraně přírody
</t>
    </r>
    <r>
      <rPr>
        <i/>
        <sz val="11"/>
        <color indexed="8"/>
        <rFont val="Calibri"/>
        <family val="2"/>
      </rPr>
      <t>Partner KRNAP (společně 12,13 a 39)</t>
    </r>
  </si>
  <si>
    <t>15+40</t>
  </si>
  <si>
    <t>Rekonstrukce turistických chodníků</t>
  </si>
  <si>
    <t>4+40</t>
  </si>
  <si>
    <t>Rekonstrukce lesních cest</t>
  </si>
  <si>
    <t>18+26</t>
  </si>
  <si>
    <t>Návštěvnické centrum KRNAP - Muzeum Krkonoš</t>
  </si>
  <si>
    <t>Rekonstrukce informačního centra ve Špindlerově Mlýně</t>
  </si>
  <si>
    <t>Rekonstrukce informačního centra v Peci pod Sněžkou</t>
  </si>
  <si>
    <r>
      <t xml:space="preserve">Via fabrilis – cesta řemeslných tradic III
</t>
    </r>
    <r>
      <rPr>
        <i/>
        <sz val="11"/>
        <color indexed="8"/>
        <rFont val="Calibri"/>
        <family val="2"/>
      </rPr>
      <t>Boleslawec - Vrchlabí - aktivní přeshraniční spolupráce muzeí</t>
    </r>
  </si>
  <si>
    <t>17+19</t>
  </si>
  <si>
    <t>Krkonošské muzeum - expozice</t>
  </si>
  <si>
    <t>Vegetace krkonošské tundry - minulost, současnost a budoucnost</t>
  </si>
  <si>
    <r>
      <t xml:space="preserve">Možnosti ochrany tradičně obhospodařovaných luk v blízkosti krkonošských sídel
</t>
    </r>
    <r>
      <rPr>
        <i/>
        <sz val="11"/>
        <color indexed="8"/>
        <rFont val="Calibri"/>
        <family val="2"/>
      </rPr>
      <t>Nastavení systému péče o ohrožené luční porosty v III. zóne KRNAP a jeho ochranného pásma * (společné řešení se záměrem 5 a 22)</t>
    </r>
  </si>
  <si>
    <t>Rozšíření stávajícího monitoračního rámce stavu lesních ekosystémů o bioindikátory vývoje druhové a stanovištní diverzity lesních porostů na území KRNAP a jeho OP</t>
  </si>
  <si>
    <t>Inventarizační bryologický průzkum KRNAP</t>
  </si>
  <si>
    <t>Výstavba nových turistických a lesních cest v KRNAP</t>
  </si>
  <si>
    <t>Péče o zvěř v mimovegetačním období - III. etapa</t>
  </si>
  <si>
    <t>Společný přístup k péči o Krkonošský národní park</t>
  </si>
  <si>
    <t>Společné vzdělávání pracovníků Správy KRNAP a KPN II</t>
  </si>
  <si>
    <t>Rekonstrukce a výstavba objektu depozitáře Krkonošského muzea</t>
  </si>
  <si>
    <t>Sezónní informační středisko - Zlaté návrší</t>
  </si>
  <si>
    <t>Inventarizace a dokumentace krasových jevů v regionu Krkonoš</t>
  </si>
  <si>
    <t>Noční motýli jako nejvhodnější indikační skupina pro poznání dopadů hospodaření a klimatických změn na krkonšskou biotu</t>
  </si>
  <si>
    <t>Komplexní studie hodnocení krajinného rázu</t>
  </si>
  <si>
    <r>
      <t xml:space="preserve">Studie hodnocení fragmentace krajiny
</t>
    </r>
    <r>
      <rPr>
        <i/>
        <sz val="11"/>
        <color indexed="8"/>
        <rFont val="Calibri"/>
        <family val="2"/>
      </rPr>
      <t>MAGIC Landscape</t>
    </r>
  </si>
  <si>
    <r>
      <t xml:space="preserve">Revize územního systému ekologické stability
</t>
    </r>
    <r>
      <rPr>
        <i/>
        <sz val="11"/>
        <color indexed="8"/>
        <rFont val="Calibri"/>
        <family val="2"/>
      </rPr>
      <t>MAGIC Landscape</t>
    </r>
  </si>
  <si>
    <t>Monitoring současného rozšíření květeny cévnatých rostlin Krkonoš</t>
  </si>
  <si>
    <r>
      <t xml:space="preserve">Vydávání časopisu Krkonoše - Jizerské hory
</t>
    </r>
    <r>
      <rPr>
        <i/>
        <sz val="11"/>
        <color indexed="8"/>
        <rFont val="Calibri"/>
        <family val="2"/>
      </rPr>
      <t>Partner KRNAP (společně 12,13 a 39)</t>
    </r>
  </si>
  <si>
    <t>24-01/2016</t>
  </si>
  <si>
    <t>Krkonošské muzeum ve Vrchlabí - sanace azbestocementových desek, nové SDK konstrukce</t>
  </si>
  <si>
    <t>24-02/2016</t>
  </si>
  <si>
    <t>Změna užívání stavby č.p. 502, Stavidlový vrch ve Vrchlabí</t>
  </si>
  <si>
    <t>24-03/2016</t>
  </si>
  <si>
    <t>Zateplení objektu č.p. 138 Jánské Lázně</t>
  </si>
  <si>
    <t>24-04/2016</t>
  </si>
  <si>
    <t>Zámecký park - oprava zdi kolem parku</t>
  </si>
  <si>
    <t>24-05/2016</t>
  </si>
  <si>
    <t>Nákup nového traktoru ÚP 34</t>
  </si>
  <si>
    <t>24-06/2016</t>
  </si>
  <si>
    <t>Rekonstrukce garáže a hospodářské zázemí u objektu č.p.176 Vítkovice</t>
  </si>
  <si>
    <t>24-07/2016</t>
  </si>
  <si>
    <t>LC Na Hromovku</t>
  </si>
  <si>
    <t>24-09/2016</t>
  </si>
  <si>
    <t>Autokemp - opravy</t>
  </si>
  <si>
    <t>24-12/2016</t>
  </si>
  <si>
    <t>Vrchlabí č.p. 597 - vila v parku</t>
  </si>
  <si>
    <t>40-2017</t>
  </si>
  <si>
    <t>31+32+33</t>
  </si>
  <si>
    <t>Tundra tady, tundra tam</t>
  </si>
  <si>
    <t>41-2017</t>
  </si>
  <si>
    <t>Rekonstrukce a úprava lesní cesty "Velbloudka" - úsek kolem nemovitosti pana Sudka</t>
  </si>
  <si>
    <t>42-2017</t>
  </si>
  <si>
    <t>Příjezdová komunikace k č.p. 58 v Rudníku</t>
  </si>
  <si>
    <t>044-2017</t>
  </si>
  <si>
    <t>Modernizace informačních center Správy KRNAP</t>
  </si>
  <si>
    <t>045-2017</t>
  </si>
  <si>
    <t>Krkonošsko-jizerskohorká populace tetřívka obecného</t>
  </si>
  <si>
    <t>046-2018</t>
  </si>
  <si>
    <t>Vrchlabí č.p. 597 - modernizace bytové jednotky v 2.n.p.</t>
  </si>
  <si>
    <t>Pozn: J. Taláb</t>
  </si>
  <si>
    <t>Čerpání v části "ZBÝVA K DOFINANCOVÁNÍ" není rozloženo do zdroje financování. V tuto chvíli nelze dostatečně přesně odhadnout, jaké náklady budou hrazeny dotačně a které z vlastních zdrojů.</t>
  </si>
  <si>
    <t>Číslo záměru</t>
  </si>
  <si>
    <t>OS</t>
  </si>
  <si>
    <t>Celkové N na OS</t>
  </si>
  <si>
    <t>23.1.-26.1.</t>
  </si>
  <si>
    <t>8.2.</t>
  </si>
  <si>
    <t>Izrael</t>
  </si>
  <si>
    <t>11.3.-15.3.</t>
  </si>
  <si>
    <t>4.3.-8.3.</t>
  </si>
  <si>
    <t>25.3.-27.3.</t>
  </si>
  <si>
    <t>14.3.-21.3.</t>
  </si>
  <si>
    <t>18.3.-21.3.</t>
  </si>
  <si>
    <t>20.3.-23.3.</t>
  </si>
  <si>
    <t>Španělsko</t>
  </si>
  <si>
    <t>IUCN</t>
  </si>
  <si>
    <t>skutečnost 2018</t>
  </si>
  <si>
    <t>SU 549 - pojištění</t>
  </si>
  <si>
    <t>Pozn.: SU 549 - pojištění bylo ve stejné částce i ve 2016 a 2017, ale nebylo účtováno přímo na ICT, takže nebylo v předchozích letech uvedeno v této tabulce</t>
  </si>
  <si>
    <t>skutečnost 2014</t>
  </si>
  <si>
    <t>leden - prosinec</t>
  </si>
  <si>
    <t>odchylka 2018-2017</t>
  </si>
  <si>
    <t>skutečnost 2016</t>
  </si>
  <si>
    <t>rok 2018</t>
  </si>
  <si>
    <t>Rozdíl  PRT-PRN1</t>
  </si>
  <si>
    <t>BRUTTO   HV   LESNÍ ČINNOSTI</t>
  </si>
  <si>
    <t>Brutto HV těžební činnost</t>
  </si>
  <si>
    <t>skutečnost 2015</t>
  </si>
  <si>
    <t>rozdíl 2018/2017</t>
  </si>
  <si>
    <t xml:space="preserve"> Mezisoučet 241</t>
  </si>
  <si>
    <t>SÚ</t>
  </si>
  <si>
    <t xml:space="preserve">ČNB provozní účet </t>
  </si>
  <si>
    <t xml:space="preserve">ČNB provozní EUR </t>
  </si>
  <si>
    <t xml:space="preserve">ČNB LIFE </t>
  </si>
  <si>
    <t xml:space="preserve">ČNB - investiční FRM </t>
  </si>
  <si>
    <t xml:space="preserve">ČNB rezervní fond </t>
  </si>
  <si>
    <t xml:space="preserve">ČNB - fond odměn </t>
  </si>
  <si>
    <t xml:space="preserve">Pokladna </t>
  </si>
  <si>
    <t xml:space="preserve">ČNB - FKSP </t>
  </si>
  <si>
    <t>Pokladna valutová</t>
  </si>
  <si>
    <t>Pokladna FKSP</t>
  </si>
  <si>
    <t>Peníze na cestě</t>
  </si>
  <si>
    <t>Opravné položky k pohledávkám</t>
  </si>
  <si>
    <t>311XXX</t>
  </si>
  <si>
    <t>321XXX</t>
  </si>
  <si>
    <t>Poskytnuté zálohy</t>
  </si>
  <si>
    <t>314XXX</t>
  </si>
  <si>
    <t>Jiné pohledávky</t>
  </si>
  <si>
    <t>315XXX</t>
  </si>
  <si>
    <t>Přijaté zálohy</t>
  </si>
  <si>
    <t>324XXX</t>
  </si>
  <si>
    <t>Pohledávky - FKSP</t>
  </si>
  <si>
    <t>Rok</t>
  </si>
  <si>
    <t>Sumarizace</t>
  </si>
  <si>
    <t>Vlastní výnosy</t>
  </si>
  <si>
    <t>Tržby z prodeje dřevní hmoty</t>
  </si>
  <si>
    <t>Příspěvek</t>
  </si>
  <si>
    <t>Komplexní náklady na těžbu dřevní hmoty</t>
  </si>
  <si>
    <t>Spotřeba energií</t>
  </si>
  <si>
    <t>Isprofin</t>
  </si>
  <si>
    <t>Ostatní dotace</t>
  </si>
  <si>
    <t>Cestovné a reprezentace</t>
  </si>
  <si>
    <t>Kontrolní číslo</t>
  </si>
  <si>
    <t>Vlastní výrobky (601)</t>
  </si>
  <si>
    <t>Mzdové prostředky</t>
  </si>
  <si>
    <t>Služby (602)</t>
  </si>
  <si>
    <t>Ostatní náklady z činnosti (549)</t>
  </si>
  <si>
    <t>Pronájmy  (603)</t>
  </si>
  <si>
    <t>Zboží  (604)</t>
  </si>
  <si>
    <t>Náklady na DM (558)</t>
  </si>
  <si>
    <t>Prodej materiálu (644)</t>
  </si>
  <si>
    <t>Daňové náklady</t>
  </si>
  <si>
    <t>Prodej majetku (646)</t>
  </si>
  <si>
    <t>Ostatní náklady</t>
  </si>
  <si>
    <t>Ostatní výnosy (649)</t>
  </si>
  <si>
    <t>Úroky, kurzové zisky</t>
  </si>
  <si>
    <t>Čerpání fondů (648)</t>
  </si>
  <si>
    <t>22.4.-28.4.</t>
  </si>
  <si>
    <t>18.4.-20.4.</t>
  </si>
  <si>
    <t>Maďarsko</t>
  </si>
  <si>
    <t>17.4.</t>
  </si>
  <si>
    <t>Workshop MagicLandscape</t>
  </si>
  <si>
    <t>17.5.-18.5.</t>
  </si>
  <si>
    <t>Natura 2000</t>
  </si>
  <si>
    <t>22.5.-26.5.</t>
  </si>
  <si>
    <t>4.6.-8.6.</t>
  </si>
  <si>
    <t>Konference EDGG</t>
  </si>
  <si>
    <t>Korsika</t>
  </si>
  <si>
    <t>Itálie</t>
  </si>
  <si>
    <t>Botanická exkurze</t>
  </si>
  <si>
    <t>3.6.-9.6.</t>
  </si>
  <si>
    <t>TransParcMeeting</t>
  </si>
  <si>
    <t>27.6.-4.7.</t>
  </si>
  <si>
    <t>Výkon 714 - GDPR</t>
  </si>
  <si>
    <t>SU 518 - telekomunikace</t>
  </si>
  <si>
    <t xml:space="preserve">SU 518 - připojení k internetu </t>
  </si>
  <si>
    <t>27.6.-30.6.</t>
  </si>
  <si>
    <t>14.8.-22.8.</t>
  </si>
  <si>
    <t>17.9.-22.9.</t>
  </si>
  <si>
    <t>Skotsko</t>
  </si>
  <si>
    <t>17.9.-29.9.</t>
  </si>
  <si>
    <t>10.9.-14.9.</t>
  </si>
  <si>
    <t>Polsko</t>
  </si>
  <si>
    <t>EUROSITE</t>
  </si>
  <si>
    <t>17.9.-21.9.</t>
  </si>
  <si>
    <t>skutečnost leden - září</t>
  </si>
  <si>
    <t xml:space="preserve">           ostatní neinvestiční příspěvek na provoz</t>
  </si>
  <si>
    <t>prosinec</t>
  </si>
  <si>
    <t>všechny parky přes MŽP</t>
  </si>
  <si>
    <t>Světové fórum chráněné území</t>
  </si>
  <si>
    <t>Projekt ČRA - Tusheti</t>
  </si>
  <si>
    <t>CzDA-RO-GE-2014-5-41030, ČRA</t>
  </si>
  <si>
    <t>Venerovský memoriál</t>
  </si>
  <si>
    <t>Monako</t>
  </si>
  <si>
    <t>Konference Crans Montana</t>
  </si>
  <si>
    <t>18.4.-26.4.</t>
  </si>
  <si>
    <t>Projekt Tusheti</t>
  </si>
  <si>
    <t>2.6.-10.6.</t>
  </si>
  <si>
    <t>14.roč. Tatranská krosba</t>
  </si>
  <si>
    <t>Projekt ČRA Tusheti</t>
  </si>
  <si>
    <t>13.8.-17.8.</t>
  </si>
  <si>
    <t>Exkurze TANAP</t>
  </si>
  <si>
    <t>Konference EUROPARC</t>
  </si>
  <si>
    <t>Společné vzdělávání</t>
  </si>
  <si>
    <t>Projekt CZ.11.4.120/0.0/0.0/15_006/0000088, OPPS ČR-PR II</t>
  </si>
  <si>
    <t>24.9.-27.9.</t>
  </si>
  <si>
    <t>8.10.-12.10.</t>
  </si>
  <si>
    <t>15.10.-18.10.</t>
  </si>
  <si>
    <t>Konference</t>
  </si>
  <si>
    <t>Francie</t>
  </si>
  <si>
    <t>23.10.-26.10.</t>
  </si>
  <si>
    <t>Aragvi</t>
  </si>
  <si>
    <t>GE-2018-022-FO-43040/4, ČRA</t>
  </si>
  <si>
    <t>25.10-26.10.</t>
  </si>
  <si>
    <t>29.10.-2.11.</t>
  </si>
  <si>
    <t>5.11.-9.11.</t>
  </si>
  <si>
    <t>6.11.-8.11.</t>
  </si>
  <si>
    <t>Rakousko</t>
  </si>
  <si>
    <t>MagicLandscapes</t>
  </si>
  <si>
    <t>12.11.-16.11.</t>
  </si>
  <si>
    <t>Chorvatsko</t>
  </si>
  <si>
    <t>Plánování interpretace</t>
  </si>
  <si>
    <t>18.12.-20.12.</t>
  </si>
  <si>
    <t>Konference 70.let TANAP</t>
  </si>
  <si>
    <t>Členství v mezinár.spol., meznár.spolup,výměna zkuš.</t>
  </si>
  <si>
    <t>Biogeografický seminář.</t>
  </si>
  <si>
    <t>ostatní služby</t>
  </si>
  <si>
    <t>vyčerpáno do 2017 vč.</t>
  </si>
  <si>
    <r>
      <t xml:space="preserve">Invazivní rostliny v KRNAP a jeho ochranném pásmu
</t>
    </r>
    <r>
      <rPr>
        <i/>
        <sz val="11"/>
        <color indexed="8"/>
        <rFont val="Calibri"/>
        <family val="2"/>
      </rPr>
      <t>(společné řešení se záměrem 5)</t>
    </r>
  </si>
  <si>
    <t>Modernizace meteorologických stanic 
( společné řešení se záměrem 21)</t>
  </si>
  <si>
    <r>
      <t xml:space="preserve">Investice pro vytvoření podmínek pravidelné péče o krkonošské louky
</t>
    </r>
    <r>
      <rPr>
        <i/>
        <sz val="11"/>
        <color indexed="8"/>
        <rFont val="Calibri"/>
        <family val="2"/>
      </rPr>
      <t>(společné řešení se záměrem 5)</t>
    </r>
  </si>
  <si>
    <t>Analýza odtokových poměrů - ZAMÍTNUTO</t>
  </si>
  <si>
    <t>Obnova serverů a nákup zabezpečeného diskového pole s deduplikací</t>
  </si>
  <si>
    <t>Software pro virtuální prostředí</t>
  </si>
  <si>
    <t>Obnova aktivních síťových prvků</t>
  </si>
  <si>
    <t>PD - rekonstrukce budovy Správy KRNAP - Vrchlabí, Dobrovského čp. 3</t>
  </si>
  <si>
    <t>Dřevovýroba Svoboda nad Úpou - sušárna dřeva, skladovací hala, oplocení</t>
  </si>
  <si>
    <t>Traktor pro ÚP32 - Rezek</t>
  </si>
  <si>
    <t>Rekonstrukce chaty Bínovka</t>
  </si>
  <si>
    <t>Rekonstrukce turistických chodníků II</t>
  </si>
  <si>
    <t>Rekonstrukce lesních cest v souvislosti s plněním plánu péče o národní park II - nepropustný povrch</t>
  </si>
  <si>
    <t>Rekonstrukce lesních cest v souvislosti s plněním plánu péče o národní park II - nezpevněný povrch</t>
  </si>
  <si>
    <t>Čerpání v roce 2016 a 2017 - pouze to co je zaúčtováno na odděleném účetnictví projektu, a případně odhad nákladů na projektové dokumentace.</t>
  </si>
  <si>
    <t>Čerpání v roce 2018 - "CELKEM" = pouze ty náklady, co jsou účtovány na odděleném účetnictví tzn. konkrétní OS projektu. Současně předpoklad úhrady dle zdroje financování projektu, neboť ne vždy jsou dotační prostředky proplaceny z důvodu časového rozlišení výdaje a příjmu dotace.</t>
  </si>
  <si>
    <t>Šedivou barvou označené záměry jsou již ukončeny.</t>
  </si>
  <si>
    <t>15. správa organizace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</si>
</sst>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  <numFmt numFmtId="165" formatCode="#,##0\ _K_č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 CE"/>
      <family val="0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indexed="2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0"/>
    </font>
    <font>
      <b/>
      <sz val="8"/>
      <color indexed="63"/>
      <name val="Calibri"/>
      <family val="0"/>
    </font>
    <font>
      <b/>
      <sz val="14"/>
      <color indexed="63"/>
      <name val="Calibri"/>
      <family val="0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96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2" tint="-0.24997000396251678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907">
    <xf numFmtId="0" fontId="0" fillId="0" borderId="0" xfId="0" applyFont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0" borderId="0" xfId="0" applyFont="1" applyAlignment="1">
      <alignment/>
    </xf>
    <xf numFmtId="0" fontId="79" fillId="13" borderId="10" xfId="0" applyFont="1" applyFill="1" applyBorder="1" applyAlignment="1">
      <alignment horizontal="center" vertical="center" wrapText="1"/>
    </xf>
    <xf numFmtId="0" fontId="79" fillId="13" borderId="0" xfId="0" applyFont="1" applyFill="1" applyBorder="1" applyAlignment="1">
      <alignment horizontal="center" vertical="center" wrapText="1"/>
    </xf>
    <xf numFmtId="0" fontId="79" fillId="13" borderId="11" xfId="0" applyFont="1" applyFill="1" applyBorder="1" applyAlignment="1">
      <alignment horizontal="center" vertical="center" wrapText="1"/>
    </xf>
    <xf numFmtId="0" fontId="80" fillId="13" borderId="12" xfId="0" applyFont="1" applyFill="1" applyBorder="1" applyAlignment="1">
      <alignment vertical="center" wrapText="1"/>
    </xf>
    <xf numFmtId="0" fontId="78" fillId="0" borderId="0" xfId="0" applyFont="1" applyAlignment="1">
      <alignment horizontal="center"/>
    </xf>
    <xf numFmtId="0" fontId="81" fillId="0" borderId="0" xfId="0" applyFont="1" applyAlignment="1">
      <alignment/>
    </xf>
    <xf numFmtId="0" fontId="78" fillId="0" borderId="0" xfId="0" applyFont="1" applyFill="1" applyAlignment="1">
      <alignment/>
    </xf>
    <xf numFmtId="0" fontId="82" fillId="7" borderId="13" xfId="0" applyFont="1" applyFill="1" applyBorder="1" applyAlignment="1">
      <alignment vertical="center"/>
    </xf>
    <xf numFmtId="0" fontId="78" fillId="7" borderId="14" xfId="0" applyFont="1" applyFill="1" applyBorder="1" applyAlignment="1">
      <alignment/>
    </xf>
    <xf numFmtId="0" fontId="78" fillId="7" borderId="15" xfId="0" applyFont="1" applyFill="1" applyBorder="1" applyAlignment="1">
      <alignment/>
    </xf>
    <xf numFmtId="0" fontId="83" fillId="7" borderId="16" xfId="0" applyFont="1" applyFill="1" applyBorder="1" applyAlignment="1">
      <alignment horizontal="center"/>
    </xf>
    <xf numFmtId="0" fontId="84" fillId="7" borderId="17" xfId="0" applyFont="1" applyFill="1" applyBorder="1" applyAlignment="1">
      <alignment horizontal="center" vertical="center"/>
    </xf>
    <xf numFmtId="0" fontId="84" fillId="7" borderId="18" xfId="0" applyFont="1" applyFill="1" applyBorder="1" applyAlignment="1">
      <alignment horizontal="center" vertical="center"/>
    </xf>
    <xf numFmtId="0" fontId="84" fillId="7" borderId="19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/>
    </xf>
    <xf numFmtId="0" fontId="78" fillId="0" borderId="21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0" fontId="84" fillId="0" borderId="13" xfId="0" applyFont="1" applyFill="1" applyBorder="1" applyAlignment="1">
      <alignment horizontal="left"/>
    </xf>
    <xf numFmtId="0" fontId="78" fillId="0" borderId="21" xfId="0" applyFont="1" applyFill="1" applyBorder="1" applyAlignment="1">
      <alignment horizontal="left"/>
    </xf>
    <xf numFmtId="0" fontId="78" fillId="0" borderId="21" xfId="0" applyFont="1" applyFill="1" applyBorder="1" applyAlignment="1">
      <alignment/>
    </xf>
    <xf numFmtId="0" fontId="78" fillId="0" borderId="23" xfId="0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78" fillId="0" borderId="25" xfId="0" applyFont="1" applyFill="1" applyBorder="1" applyAlignment="1">
      <alignment horizontal="left"/>
    </xf>
    <xf numFmtId="0" fontId="78" fillId="0" borderId="25" xfId="0" applyFont="1" applyFill="1" applyBorder="1" applyAlignment="1">
      <alignment/>
    </xf>
    <xf numFmtId="0" fontId="78" fillId="0" borderId="26" xfId="0" applyFont="1" applyFill="1" applyBorder="1" applyAlignment="1">
      <alignment/>
    </xf>
    <xf numFmtId="0" fontId="84" fillId="0" borderId="16" xfId="0" applyFont="1" applyFill="1" applyBorder="1" applyAlignment="1">
      <alignment horizontal="left"/>
    </xf>
    <xf numFmtId="0" fontId="83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78" fillId="33" borderId="0" xfId="0" applyFont="1" applyFill="1" applyAlignment="1">
      <alignment/>
    </xf>
    <xf numFmtId="44" fontId="78" fillId="33" borderId="0" xfId="0" applyNumberFormat="1" applyFont="1" applyFill="1" applyAlignment="1">
      <alignment/>
    </xf>
    <xf numFmtId="43" fontId="78" fillId="33" borderId="0" xfId="0" applyNumberFormat="1" applyFont="1" applyFill="1" applyAlignment="1">
      <alignment/>
    </xf>
    <xf numFmtId="44" fontId="13" fillId="33" borderId="0" xfId="0" applyNumberFormat="1" applyFont="1" applyFill="1" applyAlignment="1">
      <alignment vertical="center"/>
    </xf>
    <xf numFmtId="0" fontId="78" fillId="0" borderId="21" xfId="0" applyFont="1" applyBorder="1" applyAlignment="1">
      <alignment horizontal="left" indent="1"/>
    </xf>
    <xf numFmtId="3" fontId="13" fillId="0" borderId="27" xfId="48" applyNumberFormat="1" applyFont="1" applyFill="1" applyBorder="1" applyAlignment="1">
      <alignment vertical="center"/>
      <protection/>
    </xf>
    <xf numFmtId="49" fontId="13" fillId="33" borderId="27" xfId="0" applyNumberFormat="1" applyFont="1" applyFill="1" applyBorder="1" applyAlignment="1">
      <alignment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49" fontId="13" fillId="33" borderId="30" xfId="0" applyNumberFormat="1" applyFont="1" applyFill="1" applyBorder="1" applyAlignment="1">
      <alignment vertical="center"/>
    </xf>
    <xf numFmtId="3" fontId="13" fillId="0" borderId="30" xfId="48" applyNumberFormat="1" applyFont="1" applyFill="1" applyBorder="1" applyAlignment="1">
      <alignment vertical="center"/>
      <protection/>
    </xf>
    <xf numFmtId="0" fontId="84" fillId="7" borderId="17" xfId="0" applyFont="1" applyFill="1" applyBorder="1" applyAlignment="1">
      <alignment horizontal="center" vertical="center"/>
    </xf>
    <xf numFmtId="49" fontId="84" fillId="7" borderId="18" xfId="0" applyNumberFormat="1" applyFont="1" applyFill="1" applyBorder="1" applyAlignment="1">
      <alignment vertical="center" wrapText="1"/>
    </xf>
    <xf numFmtId="3" fontId="84" fillId="7" borderId="18" xfId="48" applyNumberFormat="1" applyFont="1" applyFill="1" applyBorder="1" applyAlignment="1">
      <alignment horizontal="right" vertical="center"/>
      <protection/>
    </xf>
    <xf numFmtId="9" fontId="84" fillId="7" borderId="18" xfId="50" applyFont="1" applyFill="1" applyBorder="1" applyAlignment="1">
      <alignment horizontal="right" vertical="center"/>
    </xf>
    <xf numFmtId="0" fontId="82" fillId="7" borderId="31" xfId="0" applyFont="1" applyFill="1" applyBorder="1" applyAlignment="1">
      <alignment horizontal="center" vertical="center"/>
    </xf>
    <xf numFmtId="49" fontId="82" fillId="7" borderId="32" xfId="0" applyNumberFormat="1" applyFont="1" applyFill="1" applyBorder="1" applyAlignment="1">
      <alignment vertical="center" wrapText="1"/>
    </xf>
    <xf numFmtId="3" fontId="82" fillId="7" borderId="32" xfId="48" applyNumberFormat="1" applyFont="1" applyFill="1" applyBorder="1" applyAlignment="1">
      <alignment horizontal="right" vertical="center"/>
      <protection/>
    </xf>
    <xf numFmtId="9" fontId="82" fillId="7" borderId="32" xfId="50" applyFont="1" applyFill="1" applyBorder="1" applyAlignment="1">
      <alignment horizontal="right" vertical="center"/>
    </xf>
    <xf numFmtId="0" fontId="11" fillId="33" borderId="28" xfId="0" applyFont="1" applyFill="1" applyBorder="1" applyAlignment="1">
      <alignment horizontal="center" vertical="center"/>
    </xf>
    <xf numFmtId="49" fontId="11" fillId="33" borderId="27" xfId="0" applyNumberFormat="1" applyFont="1" applyFill="1" applyBorder="1" applyAlignment="1">
      <alignment vertical="center"/>
    </xf>
    <xf numFmtId="3" fontId="11" fillId="0" borderId="27" xfId="48" applyNumberFormat="1" applyFont="1" applyFill="1" applyBorder="1" applyAlignment="1">
      <alignment vertical="center"/>
      <protection/>
    </xf>
    <xf numFmtId="164" fontId="11" fillId="33" borderId="33" xfId="0" applyNumberFormat="1" applyFont="1" applyFill="1" applyBorder="1" applyAlignment="1">
      <alignment horizontal="center" vertical="center"/>
    </xf>
    <xf numFmtId="164" fontId="13" fillId="33" borderId="33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0" fontId="82" fillId="7" borderId="35" xfId="0" applyFont="1" applyFill="1" applyBorder="1" applyAlignment="1">
      <alignment horizontal="center" vertical="center" wrapText="1"/>
    </xf>
    <xf numFmtId="0" fontId="84" fillId="7" borderId="36" xfId="0" applyFont="1" applyFill="1" applyBorder="1" applyAlignment="1">
      <alignment horizontal="center" vertical="center" wrapText="1"/>
    </xf>
    <xf numFmtId="3" fontId="11" fillId="0" borderId="28" xfId="48" applyNumberFormat="1" applyFont="1" applyFill="1" applyBorder="1" applyAlignment="1">
      <alignment vertical="center"/>
      <protection/>
    </xf>
    <xf numFmtId="3" fontId="11" fillId="0" borderId="37" xfId="48" applyNumberFormat="1" applyFont="1" applyFill="1" applyBorder="1" applyAlignment="1">
      <alignment vertical="center"/>
      <protection/>
    </xf>
    <xf numFmtId="3" fontId="13" fillId="0" borderId="28" xfId="48" applyNumberFormat="1" applyFont="1" applyFill="1" applyBorder="1" applyAlignment="1">
      <alignment vertical="center"/>
      <protection/>
    </xf>
    <xf numFmtId="3" fontId="13" fillId="0" borderId="37" xfId="48" applyNumberFormat="1" applyFont="1" applyFill="1" applyBorder="1" applyAlignment="1">
      <alignment vertical="center"/>
      <protection/>
    </xf>
    <xf numFmtId="3" fontId="13" fillId="0" borderId="29" xfId="48" applyNumberFormat="1" applyFont="1" applyFill="1" applyBorder="1" applyAlignment="1">
      <alignment vertical="center"/>
      <protection/>
    </xf>
    <xf numFmtId="3" fontId="13" fillId="0" borderId="38" xfId="48" applyNumberFormat="1" applyFont="1" applyFill="1" applyBorder="1" applyAlignment="1">
      <alignment vertical="center"/>
      <protection/>
    </xf>
    <xf numFmtId="3" fontId="82" fillId="7" borderId="31" xfId="48" applyNumberFormat="1" applyFont="1" applyFill="1" applyBorder="1" applyAlignment="1">
      <alignment horizontal="right" vertical="center"/>
      <protection/>
    </xf>
    <xf numFmtId="3" fontId="82" fillId="7" borderId="39" xfId="48" applyNumberFormat="1" applyFont="1" applyFill="1" applyBorder="1" applyAlignment="1">
      <alignment horizontal="right" vertical="center"/>
      <protection/>
    </xf>
    <xf numFmtId="3" fontId="84" fillId="7" borderId="17" xfId="48" applyNumberFormat="1" applyFont="1" applyFill="1" applyBorder="1" applyAlignment="1">
      <alignment horizontal="right" vertical="center"/>
      <protection/>
    </xf>
    <xf numFmtId="3" fontId="84" fillId="7" borderId="19" xfId="48" applyNumberFormat="1" applyFont="1" applyFill="1" applyBorder="1" applyAlignment="1">
      <alignment horizontal="right" vertical="center"/>
      <protection/>
    </xf>
    <xf numFmtId="9" fontId="11" fillId="0" borderId="27" xfId="50" applyFont="1" applyFill="1" applyBorder="1" applyAlignment="1">
      <alignment vertical="center"/>
    </xf>
    <xf numFmtId="9" fontId="13" fillId="0" borderId="27" xfId="50" applyFont="1" applyFill="1" applyBorder="1" applyAlignment="1">
      <alignment vertical="center"/>
    </xf>
    <xf numFmtId="9" fontId="13" fillId="0" borderId="30" xfId="50" applyFont="1" applyFill="1" applyBorder="1" applyAlignment="1">
      <alignment vertical="center"/>
    </xf>
    <xf numFmtId="3" fontId="11" fillId="0" borderId="40" xfId="48" applyNumberFormat="1" applyFont="1" applyFill="1" applyBorder="1" applyAlignment="1">
      <alignment vertical="center"/>
      <protection/>
    </xf>
    <xf numFmtId="3" fontId="11" fillId="0" borderId="41" xfId="48" applyNumberFormat="1" applyFont="1" applyFill="1" applyBorder="1" applyAlignment="1">
      <alignment vertical="center"/>
      <protection/>
    </xf>
    <xf numFmtId="3" fontId="83" fillId="7" borderId="17" xfId="48" applyNumberFormat="1" applyFont="1" applyFill="1" applyBorder="1" applyAlignment="1">
      <alignment horizontal="right" vertical="center"/>
      <protection/>
    </xf>
    <xf numFmtId="0" fontId="86" fillId="0" borderId="0" xfId="0" applyFont="1" applyAlignment="1">
      <alignment horizontal="right" vertical="center" wrapText="1"/>
    </xf>
    <xf numFmtId="0" fontId="78" fillId="0" borderId="20" xfId="0" applyFont="1" applyBorder="1" applyAlignment="1">
      <alignment horizontal="left" indent="1"/>
    </xf>
    <xf numFmtId="3" fontId="13" fillId="0" borderId="40" xfId="48" applyNumberFormat="1" applyFont="1" applyFill="1" applyBorder="1" applyAlignment="1">
      <alignment vertical="center"/>
      <protection/>
    </xf>
    <xf numFmtId="3" fontId="13" fillId="0" borderId="41" xfId="48" applyNumberFormat="1" applyFont="1" applyFill="1" applyBorder="1" applyAlignment="1">
      <alignment vertical="center"/>
      <protection/>
    </xf>
    <xf numFmtId="0" fontId="78" fillId="7" borderId="38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left" indent="1"/>
    </xf>
    <xf numFmtId="3" fontId="13" fillId="0" borderId="29" xfId="48" applyNumberFormat="1" applyFont="1" applyFill="1" applyBorder="1" applyAlignment="1">
      <alignment vertical="center"/>
      <protection/>
    </xf>
    <xf numFmtId="3" fontId="13" fillId="0" borderId="30" xfId="48" applyNumberFormat="1" applyFont="1" applyFill="1" applyBorder="1" applyAlignment="1">
      <alignment vertical="center"/>
      <protection/>
    </xf>
    <xf numFmtId="3" fontId="13" fillId="0" borderId="38" xfId="48" applyNumberFormat="1" applyFont="1" applyFill="1" applyBorder="1" applyAlignment="1">
      <alignment vertical="center"/>
      <protection/>
    </xf>
    <xf numFmtId="0" fontId="84" fillId="0" borderId="17" xfId="0" applyFont="1" applyFill="1" applyBorder="1" applyAlignment="1">
      <alignment horizontal="left" vertical="center"/>
    </xf>
    <xf numFmtId="0" fontId="84" fillId="7" borderId="30" xfId="0" applyFont="1" applyFill="1" applyBorder="1" applyAlignment="1">
      <alignment horizontal="center" vertical="center"/>
    </xf>
    <xf numFmtId="0" fontId="84" fillId="7" borderId="38" xfId="0" applyFont="1" applyFill="1" applyBorder="1" applyAlignment="1">
      <alignment horizontal="center" vertical="center"/>
    </xf>
    <xf numFmtId="0" fontId="78" fillId="0" borderId="0" xfId="0" applyFont="1" applyAlignment="1">
      <alignment wrapText="1"/>
    </xf>
    <xf numFmtId="0" fontId="78" fillId="0" borderId="0" xfId="0" applyFont="1" applyFill="1" applyAlignment="1">
      <alignment wrapText="1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0" fontId="87" fillId="0" borderId="0" xfId="0" applyFont="1" applyFill="1" applyAlignment="1">
      <alignment wrapText="1"/>
    </xf>
    <xf numFmtId="44" fontId="78" fillId="0" borderId="0" xfId="0" applyNumberFormat="1" applyFont="1" applyFill="1" applyAlignment="1">
      <alignment/>
    </xf>
    <xf numFmtId="44" fontId="13" fillId="0" borderId="0" xfId="0" applyNumberFormat="1" applyFont="1" applyFill="1" applyAlignment="1">
      <alignment vertical="center"/>
    </xf>
    <xf numFmtId="0" fontId="84" fillId="0" borderId="0" xfId="0" applyFont="1" applyFill="1" applyAlignment="1">
      <alignment vertical="top"/>
    </xf>
    <xf numFmtId="0" fontId="78" fillId="0" borderId="0" xfId="0" applyFont="1" applyFill="1" applyAlignment="1">
      <alignment vertical="top"/>
    </xf>
    <xf numFmtId="0" fontId="78" fillId="0" borderId="0" xfId="0" applyFont="1" applyFill="1" applyAlignment="1">
      <alignment horizontal="left" wrapText="1" indent="5"/>
    </xf>
    <xf numFmtId="0" fontId="84" fillId="0" borderId="0" xfId="0" applyFont="1" applyFill="1" applyAlignment="1">
      <alignment horizontal="left"/>
    </xf>
    <xf numFmtId="0" fontId="85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11" fillId="33" borderId="40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vertical="center"/>
    </xf>
    <xf numFmtId="164" fontId="11" fillId="33" borderId="43" xfId="0" applyNumberFormat="1" applyFont="1" applyFill="1" applyBorder="1" applyAlignment="1">
      <alignment horizontal="center" vertical="center"/>
    </xf>
    <xf numFmtId="3" fontId="11" fillId="0" borderId="42" xfId="48" applyNumberFormat="1" applyFont="1" applyFill="1" applyBorder="1" applyAlignment="1">
      <alignment vertical="center"/>
      <protection/>
    </xf>
    <xf numFmtId="9" fontId="11" fillId="0" borderId="42" xfId="50" applyFont="1" applyFill="1" applyBorder="1" applyAlignment="1">
      <alignment vertical="center"/>
    </xf>
    <xf numFmtId="0" fontId="78" fillId="7" borderId="29" xfId="0" applyFont="1" applyFill="1" applyBorder="1" applyAlignment="1">
      <alignment horizontal="center" vertical="center" wrapText="1"/>
    </xf>
    <xf numFmtId="0" fontId="83" fillId="7" borderId="17" xfId="0" applyFont="1" applyFill="1" applyBorder="1" applyAlignment="1">
      <alignment horizontal="center" vertical="center"/>
    </xf>
    <xf numFmtId="49" fontId="83" fillId="7" borderId="18" xfId="0" applyNumberFormat="1" applyFont="1" applyFill="1" applyBorder="1" applyAlignment="1">
      <alignment vertical="center" wrapText="1"/>
    </xf>
    <xf numFmtId="0" fontId="83" fillId="7" borderId="36" xfId="0" applyFont="1" applyFill="1" applyBorder="1" applyAlignment="1">
      <alignment horizontal="center" vertical="center" wrapText="1"/>
    </xf>
    <xf numFmtId="3" fontId="83" fillId="7" borderId="18" xfId="48" applyNumberFormat="1" applyFont="1" applyFill="1" applyBorder="1" applyAlignment="1">
      <alignment horizontal="right" vertical="center"/>
      <protection/>
    </xf>
    <xf numFmtId="3" fontId="83" fillId="7" borderId="19" xfId="48" applyNumberFormat="1" applyFont="1" applyFill="1" applyBorder="1" applyAlignment="1">
      <alignment horizontal="right" vertical="center"/>
      <protection/>
    </xf>
    <xf numFmtId="3" fontId="83" fillId="7" borderId="44" xfId="48" applyNumberFormat="1" applyFont="1" applyFill="1" applyBorder="1" applyAlignment="1">
      <alignment horizontal="right" vertical="center"/>
      <protection/>
    </xf>
    <xf numFmtId="9" fontId="83" fillId="7" borderId="45" xfId="50" applyFont="1" applyFill="1" applyBorder="1" applyAlignment="1">
      <alignment horizontal="right" vertical="center"/>
    </xf>
    <xf numFmtId="3" fontId="83" fillId="7" borderId="45" xfId="48" applyNumberFormat="1" applyFont="1" applyFill="1" applyBorder="1" applyAlignment="1">
      <alignment horizontal="right" vertical="center"/>
      <protection/>
    </xf>
    <xf numFmtId="3" fontId="83" fillId="7" borderId="46" xfId="48" applyNumberFormat="1" applyFont="1" applyFill="1" applyBorder="1" applyAlignment="1">
      <alignment horizontal="right" vertical="center"/>
      <protection/>
    </xf>
    <xf numFmtId="0" fontId="82" fillId="7" borderId="17" xfId="0" applyFont="1" applyFill="1" applyBorder="1" applyAlignment="1">
      <alignment horizontal="center" vertical="center"/>
    </xf>
    <xf numFmtId="49" fontId="82" fillId="7" borderId="18" xfId="0" applyNumberFormat="1" applyFont="1" applyFill="1" applyBorder="1" applyAlignment="1">
      <alignment vertical="center" wrapText="1"/>
    </xf>
    <xf numFmtId="0" fontId="82" fillId="7" borderId="36" xfId="0" applyFont="1" applyFill="1" applyBorder="1" applyAlignment="1">
      <alignment horizontal="center" vertical="center" wrapText="1"/>
    </xf>
    <xf numFmtId="3" fontId="82" fillId="7" borderId="17" xfId="48" applyNumberFormat="1" applyFont="1" applyFill="1" applyBorder="1" applyAlignment="1">
      <alignment horizontal="right" vertical="center"/>
      <protection/>
    </xf>
    <xf numFmtId="3" fontId="82" fillId="7" borderId="18" xfId="48" applyNumberFormat="1" applyFont="1" applyFill="1" applyBorder="1" applyAlignment="1">
      <alignment horizontal="right" vertical="center"/>
      <protection/>
    </xf>
    <xf numFmtId="3" fontId="82" fillId="7" borderId="19" xfId="48" applyNumberFormat="1" applyFont="1" applyFill="1" applyBorder="1" applyAlignment="1">
      <alignment horizontal="right" vertical="center"/>
      <protection/>
    </xf>
    <xf numFmtId="0" fontId="84" fillId="7" borderId="30" xfId="0" applyFont="1" applyFill="1" applyBorder="1" applyAlignment="1">
      <alignment horizontal="center" vertical="center" wrapText="1"/>
    </xf>
    <xf numFmtId="0" fontId="84" fillId="7" borderId="38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right"/>
    </xf>
    <xf numFmtId="3" fontId="85" fillId="0" borderId="47" xfId="0" applyNumberFormat="1" applyFont="1" applyBorder="1" applyAlignment="1">
      <alignment/>
    </xf>
    <xf numFmtId="3" fontId="85" fillId="0" borderId="48" xfId="0" applyNumberFormat="1" applyFont="1" applyBorder="1" applyAlignment="1">
      <alignment/>
    </xf>
    <xf numFmtId="3" fontId="83" fillId="0" borderId="19" xfId="0" applyNumberFormat="1" applyFont="1" applyBorder="1" applyAlignment="1">
      <alignment/>
    </xf>
    <xf numFmtId="0" fontId="85" fillId="0" borderId="31" xfId="0" applyFont="1" applyBorder="1" applyAlignment="1">
      <alignment/>
    </xf>
    <xf numFmtId="3" fontId="85" fillId="0" borderId="39" xfId="0" applyNumberFormat="1" applyFont="1" applyBorder="1" applyAlignment="1">
      <alignment/>
    </xf>
    <xf numFmtId="0" fontId="83" fillId="13" borderId="31" xfId="0" applyFont="1" applyFill="1" applyBorder="1" applyAlignment="1">
      <alignment/>
    </xf>
    <xf numFmtId="3" fontId="83" fillId="0" borderId="18" xfId="0" applyNumberFormat="1" applyFont="1" applyBorder="1" applyAlignment="1">
      <alignment/>
    </xf>
    <xf numFmtId="0" fontId="85" fillId="0" borderId="22" xfId="0" applyFont="1" applyBorder="1" applyAlignment="1">
      <alignment/>
    </xf>
    <xf numFmtId="3" fontId="83" fillId="0" borderId="17" xfId="0" applyNumberFormat="1" applyFont="1" applyBorder="1" applyAlignment="1">
      <alignment/>
    </xf>
    <xf numFmtId="3" fontId="85" fillId="0" borderId="19" xfId="0" applyNumberFormat="1" applyFont="1" applyFill="1" applyBorder="1" applyAlignment="1">
      <alignment/>
    </xf>
    <xf numFmtId="0" fontId="83" fillId="19" borderId="17" xfId="0" applyFont="1" applyFill="1" applyBorder="1" applyAlignment="1">
      <alignment/>
    </xf>
    <xf numFmtId="4" fontId="83" fillId="13" borderId="32" xfId="0" applyNumberFormat="1" applyFont="1" applyFill="1" applyBorder="1" applyAlignment="1">
      <alignment/>
    </xf>
    <xf numFmtId="0" fontId="85" fillId="0" borderId="49" xfId="0" applyFont="1" applyBorder="1" applyAlignment="1">
      <alignment/>
    </xf>
    <xf numFmtId="0" fontId="85" fillId="0" borderId="50" xfId="0" applyFont="1" applyBorder="1" applyAlignment="1">
      <alignment/>
    </xf>
    <xf numFmtId="0" fontId="85" fillId="0" borderId="51" xfId="0" applyFont="1" applyBorder="1" applyAlignment="1">
      <alignment/>
    </xf>
    <xf numFmtId="3" fontId="85" fillId="0" borderId="31" xfId="0" applyNumberFormat="1" applyFont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left"/>
    </xf>
    <xf numFmtId="0" fontId="80" fillId="13" borderId="52" xfId="0" applyFont="1" applyFill="1" applyBorder="1" applyAlignment="1">
      <alignment vertical="center" wrapText="1"/>
    </xf>
    <xf numFmtId="0" fontId="83" fillId="0" borderId="17" xfId="0" applyFont="1" applyFill="1" applyBorder="1" applyAlignment="1">
      <alignment/>
    </xf>
    <xf numFmtId="3" fontId="83" fillId="0" borderId="18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3" fontId="83" fillId="0" borderId="0" xfId="0" applyNumberFormat="1" applyFont="1" applyFill="1" applyBorder="1" applyAlignment="1">
      <alignment/>
    </xf>
    <xf numFmtId="0" fontId="78" fillId="0" borderId="0" xfId="0" applyFont="1" applyBorder="1" applyAlignment="1">
      <alignment/>
    </xf>
    <xf numFmtId="4" fontId="85" fillId="13" borderId="39" xfId="0" applyNumberFormat="1" applyFont="1" applyFill="1" applyBorder="1" applyAlignment="1">
      <alignment/>
    </xf>
    <xf numFmtId="49" fontId="11" fillId="33" borderId="42" xfId="0" applyNumberFormat="1" applyFont="1" applyFill="1" applyBorder="1" applyAlignment="1">
      <alignment vertical="center" wrapText="1"/>
    </xf>
    <xf numFmtId="49" fontId="13" fillId="33" borderId="27" xfId="0" applyNumberFormat="1" applyFont="1" applyFill="1" applyBorder="1" applyAlignment="1">
      <alignment vertical="center" wrapText="1"/>
    </xf>
    <xf numFmtId="49" fontId="11" fillId="33" borderId="27" xfId="0" applyNumberFormat="1" applyFont="1" applyFill="1" applyBorder="1" applyAlignment="1">
      <alignment vertical="center" wrapText="1"/>
    </xf>
    <xf numFmtId="49" fontId="13" fillId="33" borderId="30" xfId="0" applyNumberFormat="1" applyFont="1" applyFill="1" applyBorder="1" applyAlignment="1">
      <alignment vertical="center" wrapText="1"/>
    </xf>
    <xf numFmtId="0" fontId="78" fillId="33" borderId="0" xfId="0" applyFont="1" applyFill="1" applyAlignment="1">
      <alignment wrapText="1"/>
    </xf>
    <xf numFmtId="49" fontId="13" fillId="33" borderId="27" xfId="0" applyNumberFormat="1" applyFont="1" applyFill="1" applyBorder="1" applyAlignment="1">
      <alignment horizontal="left" vertical="center" wrapText="1" indent="4"/>
    </xf>
    <xf numFmtId="0" fontId="78" fillId="0" borderId="40" xfId="0" applyFont="1" applyBorder="1" applyAlignment="1">
      <alignment horizontal="left" vertical="center" indent="3"/>
    </xf>
    <xf numFmtId="0" fontId="78" fillId="0" borderId="28" xfId="0" applyFont="1" applyBorder="1" applyAlignment="1">
      <alignment horizontal="left" vertical="center" indent="3"/>
    </xf>
    <xf numFmtId="0" fontId="78" fillId="0" borderId="53" xfId="0" applyFont="1" applyBorder="1" applyAlignment="1">
      <alignment horizontal="left" vertical="center" indent="3"/>
    </xf>
    <xf numFmtId="0" fontId="78" fillId="7" borderId="54" xfId="0" applyFont="1" applyFill="1" applyBorder="1" applyAlignment="1">
      <alignment horizontal="center" vertical="center" wrapText="1"/>
    </xf>
    <xf numFmtId="3" fontId="11" fillId="0" borderId="52" xfId="48" applyNumberFormat="1" applyFont="1" applyFill="1" applyBorder="1" applyAlignment="1">
      <alignment vertical="center"/>
      <protection/>
    </xf>
    <xf numFmtId="3" fontId="13" fillId="0" borderId="55" xfId="48" applyNumberFormat="1" applyFont="1" applyFill="1" applyBorder="1" applyAlignment="1">
      <alignment vertical="center"/>
      <protection/>
    </xf>
    <xf numFmtId="3" fontId="11" fillId="0" borderId="55" xfId="48" applyNumberFormat="1" applyFont="1" applyFill="1" applyBorder="1" applyAlignment="1">
      <alignment vertical="center"/>
      <protection/>
    </xf>
    <xf numFmtId="3" fontId="13" fillId="0" borderId="54" xfId="48" applyNumberFormat="1" applyFont="1" applyFill="1" applyBorder="1" applyAlignment="1">
      <alignment vertical="center"/>
      <protection/>
    </xf>
    <xf numFmtId="3" fontId="82" fillId="7" borderId="56" xfId="48" applyNumberFormat="1" applyFont="1" applyFill="1" applyBorder="1" applyAlignment="1">
      <alignment horizontal="right" vertical="center"/>
      <protection/>
    </xf>
    <xf numFmtId="3" fontId="84" fillId="7" borderId="56" xfId="48" applyNumberFormat="1" applyFont="1" applyFill="1" applyBorder="1" applyAlignment="1">
      <alignment horizontal="right" vertical="center"/>
      <protection/>
    </xf>
    <xf numFmtId="3" fontId="84" fillId="7" borderId="18" xfId="48" applyNumberFormat="1" applyFont="1" applyFill="1" applyBorder="1" applyAlignment="1">
      <alignment horizontal="right" vertical="center"/>
      <protection/>
    </xf>
    <xf numFmtId="3" fontId="84" fillId="7" borderId="19" xfId="48" applyNumberFormat="1" applyFont="1" applyFill="1" applyBorder="1" applyAlignment="1">
      <alignment horizontal="right" vertical="center"/>
      <protection/>
    </xf>
    <xf numFmtId="3" fontId="83" fillId="7" borderId="57" xfId="50" applyNumberFormat="1" applyFont="1" applyFill="1" applyBorder="1" applyAlignment="1">
      <alignment horizontal="right" vertical="center"/>
    </xf>
    <xf numFmtId="3" fontId="13" fillId="0" borderId="55" xfId="50" applyNumberFormat="1" applyFont="1" applyFill="1" applyBorder="1" applyAlignment="1">
      <alignment vertical="center"/>
    </xf>
    <xf numFmtId="3" fontId="13" fillId="0" borderId="33" xfId="50" applyNumberFormat="1" applyFont="1" applyFill="1" applyBorder="1" applyAlignment="1">
      <alignment vertical="center"/>
    </xf>
    <xf numFmtId="3" fontId="13" fillId="0" borderId="34" xfId="50" applyNumberFormat="1" applyFont="1" applyFill="1" applyBorder="1" applyAlignment="1">
      <alignment vertical="center"/>
    </xf>
    <xf numFmtId="3" fontId="82" fillId="7" borderId="56" xfId="50" applyNumberFormat="1" applyFont="1" applyFill="1" applyBorder="1" applyAlignment="1">
      <alignment horizontal="right" vertical="center"/>
    </xf>
    <xf numFmtId="3" fontId="84" fillId="7" borderId="56" xfId="50" applyNumberFormat="1" applyFont="1" applyFill="1" applyBorder="1" applyAlignment="1">
      <alignment horizontal="right" vertical="center"/>
    </xf>
    <xf numFmtId="3" fontId="11" fillId="0" borderId="58" xfId="48" applyNumberFormat="1" applyFont="1" applyFill="1" applyBorder="1" applyAlignment="1">
      <alignment vertical="center"/>
      <protection/>
    </xf>
    <xf numFmtId="3" fontId="13" fillId="0" borderId="59" xfId="48" applyNumberFormat="1" applyFont="1" applyFill="1" applyBorder="1" applyAlignment="1">
      <alignment vertical="center"/>
      <protection/>
    </xf>
    <xf numFmtId="3" fontId="11" fillId="0" borderId="59" xfId="48" applyNumberFormat="1" applyFont="1" applyFill="1" applyBorder="1" applyAlignment="1">
      <alignment vertical="center"/>
      <protection/>
    </xf>
    <xf numFmtId="3" fontId="13" fillId="0" borderId="60" xfId="48" applyNumberFormat="1" applyFont="1" applyFill="1" applyBorder="1" applyAlignment="1">
      <alignment vertical="center"/>
      <protection/>
    </xf>
    <xf numFmtId="3" fontId="82" fillId="7" borderId="15" xfId="48" applyNumberFormat="1" applyFont="1" applyFill="1" applyBorder="1" applyAlignment="1">
      <alignment horizontal="right" vertical="center"/>
      <protection/>
    </xf>
    <xf numFmtId="3" fontId="84" fillId="7" borderId="15" xfId="48" applyNumberFormat="1" applyFont="1" applyFill="1" applyBorder="1" applyAlignment="1">
      <alignment horizontal="right" vertical="center"/>
      <protection/>
    </xf>
    <xf numFmtId="3" fontId="13" fillId="0" borderId="52" xfId="48" applyNumberFormat="1" applyFont="1" applyFill="1" applyBorder="1" applyAlignment="1">
      <alignment vertical="center"/>
      <protection/>
    </xf>
    <xf numFmtId="3" fontId="13" fillId="0" borderId="42" xfId="48" applyNumberFormat="1" applyFont="1" applyFill="1" applyBorder="1" applyAlignment="1">
      <alignment vertical="center"/>
      <protection/>
    </xf>
    <xf numFmtId="0" fontId="78" fillId="0" borderId="61" xfId="0" applyFont="1" applyBorder="1" applyAlignment="1">
      <alignment/>
    </xf>
    <xf numFmtId="0" fontId="89" fillId="0" borderId="0" xfId="0" applyFont="1" applyAlignment="1">
      <alignment horizontal="right" vertical="center" wrapText="1"/>
    </xf>
    <xf numFmtId="3" fontId="12" fillId="7" borderId="28" xfId="48" applyNumberFormat="1" applyFont="1" applyFill="1" applyBorder="1" applyAlignment="1">
      <alignment vertical="center"/>
      <protection/>
    </xf>
    <xf numFmtId="3" fontId="12" fillId="7" borderId="37" xfId="48" applyNumberFormat="1" applyFont="1" applyFill="1" applyBorder="1" applyAlignment="1">
      <alignment vertical="center"/>
      <protection/>
    </xf>
    <xf numFmtId="3" fontId="12" fillId="7" borderId="27" xfId="48" applyNumberFormat="1" applyFont="1" applyFill="1" applyBorder="1" applyAlignment="1">
      <alignment vertical="center"/>
      <protection/>
    </xf>
    <xf numFmtId="0" fontId="84" fillId="0" borderId="62" xfId="0" applyFont="1" applyBorder="1" applyAlignment="1">
      <alignment/>
    </xf>
    <xf numFmtId="0" fontId="78" fillId="0" borderId="63" xfId="0" applyFont="1" applyBorder="1" applyAlignment="1">
      <alignment horizontal="left" indent="1"/>
    </xf>
    <xf numFmtId="3" fontId="13" fillId="0" borderId="44" xfId="48" applyNumberFormat="1" applyFont="1" applyFill="1" applyBorder="1" applyAlignment="1">
      <alignment vertical="center"/>
      <protection/>
    </xf>
    <xf numFmtId="3" fontId="13" fillId="0" borderId="57" xfId="48" applyNumberFormat="1" applyFont="1" applyFill="1" applyBorder="1" applyAlignment="1">
      <alignment vertical="center"/>
      <protection/>
    </xf>
    <xf numFmtId="3" fontId="13" fillId="0" borderId="46" xfId="48" applyNumberFormat="1" applyFont="1" applyFill="1" applyBorder="1" applyAlignment="1">
      <alignment vertical="center"/>
      <protection/>
    </xf>
    <xf numFmtId="3" fontId="13" fillId="0" borderId="45" xfId="48" applyNumberFormat="1" applyFont="1" applyFill="1" applyBorder="1" applyAlignment="1">
      <alignment vertical="center"/>
      <protection/>
    </xf>
    <xf numFmtId="0" fontId="85" fillId="0" borderId="13" xfId="0" applyFont="1" applyBorder="1" applyAlignment="1">
      <alignment/>
    </xf>
    <xf numFmtId="0" fontId="85" fillId="0" borderId="14" xfId="0" applyFont="1" applyBorder="1" applyAlignment="1">
      <alignment/>
    </xf>
    <xf numFmtId="3" fontId="85" fillId="0" borderId="14" xfId="0" applyNumberFormat="1" applyFont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83" fillId="13" borderId="35" xfId="0" applyFont="1" applyFill="1" applyBorder="1" applyAlignment="1">
      <alignment/>
    </xf>
    <xf numFmtId="0" fontId="83" fillId="13" borderId="33" xfId="0" applyFont="1" applyFill="1" applyBorder="1" applyAlignment="1">
      <alignment/>
    </xf>
    <xf numFmtId="0" fontId="83" fillId="13" borderId="34" xfId="0" applyFont="1" applyFill="1" applyBorder="1" applyAlignment="1">
      <alignment/>
    </xf>
    <xf numFmtId="4" fontId="83" fillId="13" borderId="31" xfId="0" applyNumberFormat="1" applyFont="1" applyFill="1" applyBorder="1" applyAlignment="1">
      <alignment/>
    </xf>
    <xf numFmtId="4" fontId="83" fillId="19" borderId="18" xfId="0" applyNumberFormat="1" applyFont="1" applyFill="1" applyBorder="1" applyAlignment="1">
      <alignment/>
    </xf>
    <xf numFmtId="4" fontId="85" fillId="19" borderId="19" xfId="0" applyNumberFormat="1" applyFont="1" applyFill="1" applyBorder="1" applyAlignment="1">
      <alignment/>
    </xf>
    <xf numFmtId="0" fontId="83" fillId="0" borderId="14" xfId="0" applyFont="1" applyFill="1" applyBorder="1" applyAlignment="1">
      <alignment/>
    </xf>
    <xf numFmtId="3" fontId="83" fillId="0" borderId="17" xfId="0" applyNumberFormat="1" applyFont="1" applyFill="1" applyBorder="1" applyAlignment="1">
      <alignment/>
    </xf>
    <xf numFmtId="0" fontId="83" fillId="19" borderId="14" xfId="0" applyFont="1" applyFill="1" applyBorder="1" applyAlignment="1">
      <alignment/>
    </xf>
    <xf numFmtId="4" fontId="83" fillId="19" borderId="17" xfId="0" applyNumberFormat="1" applyFont="1" applyFill="1" applyBorder="1" applyAlignment="1">
      <alignment/>
    </xf>
    <xf numFmtId="0" fontId="86" fillId="0" borderId="14" xfId="0" applyFont="1" applyBorder="1" applyAlignment="1">
      <alignment vertical="center" wrapText="1"/>
    </xf>
    <xf numFmtId="0" fontId="90" fillId="0" borderId="14" xfId="0" applyFont="1" applyBorder="1" applyAlignment="1">
      <alignment vertical="center"/>
    </xf>
    <xf numFmtId="0" fontId="91" fillId="0" borderId="0" xfId="0" applyFont="1" applyAlignment="1">
      <alignment/>
    </xf>
    <xf numFmtId="0" fontId="83" fillId="7" borderId="44" xfId="0" applyFont="1" applyFill="1" applyBorder="1" applyAlignment="1">
      <alignment horizontal="center"/>
    </xf>
    <xf numFmtId="0" fontId="83" fillId="7" borderId="45" xfId="0" applyFont="1" applyFill="1" applyBorder="1" applyAlignment="1">
      <alignment horizontal="center"/>
    </xf>
    <xf numFmtId="0" fontId="83" fillId="7" borderId="46" xfId="0" applyFont="1" applyFill="1" applyBorder="1" applyAlignment="1">
      <alignment horizontal="center"/>
    </xf>
    <xf numFmtId="0" fontId="85" fillId="0" borderId="64" xfId="0" applyFont="1" applyBorder="1" applyAlignment="1">
      <alignment/>
    </xf>
    <xf numFmtId="0" fontId="85" fillId="0" borderId="65" xfId="0" applyFont="1" applyBorder="1" applyAlignment="1">
      <alignment/>
    </xf>
    <xf numFmtId="3" fontId="85" fillId="0" borderId="65" xfId="0" applyNumberFormat="1" applyFont="1" applyBorder="1" applyAlignment="1">
      <alignment/>
    </xf>
    <xf numFmtId="0" fontId="90" fillId="0" borderId="0" xfId="0" applyFont="1" applyAlignment="1">
      <alignment/>
    </xf>
    <xf numFmtId="0" fontId="78" fillId="0" borderId="20" xfId="0" applyFont="1" applyBorder="1" applyAlignment="1">
      <alignment/>
    </xf>
    <xf numFmtId="0" fontId="87" fillId="0" borderId="0" xfId="0" applyFont="1" applyAlignment="1">
      <alignment/>
    </xf>
    <xf numFmtId="0" fontId="78" fillId="0" borderId="21" xfId="0" applyFont="1" applyBorder="1" applyAlignment="1">
      <alignment/>
    </xf>
    <xf numFmtId="0" fontId="78" fillId="0" borderId="23" xfId="0" applyFont="1" applyBorder="1" applyAlignment="1">
      <alignment/>
    </xf>
    <xf numFmtId="4" fontId="12" fillId="7" borderId="44" xfId="46" applyNumberFormat="1" applyFont="1" applyFill="1" applyBorder="1" applyAlignment="1">
      <alignment horizontal="center" vertical="center" wrapText="1"/>
      <protection/>
    </xf>
    <xf numFmtId="4" fontId="12" fillId="7" borderId="57" xfId="46" applyNumberFormat="1" applyFont="1" applyFill="1" applyBorder="1" applyAlignment="1">
      <alignment horizontal="center" vertical="center" wrapText="1"/>
      <protection/>
    </xf>
    <xf numFmtId="4" fontId="12" fillId="7" borderId="66" xfId="46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vertical="center" wrapText="1"/>
    </xf>
    <xf numFmtId="3" fontId="78" fillId="0" borderId="40" xfId="0" applyNumberFormat="1" applyFont="1" applyBorder="1" applyAlignment="1">
      <alignment/>
    </xf>
    <xf numFmtId="3" fontId="78" fillId="0" borderId="42" xfId="0" applyNumberFormat="1" applyFont="1" applyBorder="1" applyAlignment="1">
      <alignment/>
    </xf>
    <xf numFmtId="3" fontId="78" fillId="0" borderId="41" xfId="0" applyNumberFormat="1" applyFont="1" applyBorder="1" applyAlignment="1">
      <alignment/>
    </xf>
    <xf numFmtId="3" fontId="78" fillId="0" borderId="52" xfId="0" applyNumberFormat="1" applyFont="1" applyBorder="1" applyAlignment="1">
      <alignment/>
    </xf>
    <xf numFmtId="3" fontId="78" fillId="0" borderId="28" xfId="0" applyNumberFormat="1" applyFont="1" applyBorder="1" applyAlignment="1">
      <alignment/>
    </xf>
    <xf numFmtId="3" fontId="78" fillId="0" borderId="27" xfId="0" applyNumberFormat="1" applyFont="1" applyBorder="1" applyAlignment="1">
      <alignment/>
    </xf>
    <xf numFmtId="3" fontId="78" fillId="0" borderId="37" xfId="0" applyNumberFormat="1" applyFont="1" applyBorder="1" applyAlignment="1">
      <alignment/>
    </xf>
    <xf numFmtId="3" fontId="78" fillId="0" borderId="28" xfId="0" applyNumberFormat="1" applyFont="1" applyBorder="1" applyAlignment="1">
      <alignment/>
    </xf>
    <xf numFmtId="3" fontId="78" fillId="0" borderId="55" xfId="0" applyNumberFormat="1" applyFont="1" applyBorder="1" applyAlignment="1">
      <alignment/>
    </xf>
    <xf numFmtId="3" fontId="78" fillId="0" borderId="29" xfId="0" applyNumberFormat="1" applyFont="1" applyBorder="1" applyAlignment="1">
      <alignment/>
    </xf>
    <xf numFmtId="3" fontId="78" fillId="0" borderId="30" xfId="0" applyNumberFormat="1" applyFont="1" applyBorder="1" applyAlignment="1">
      <alignment/>
    </xf>
    <xf numFmtId="3" fontId="78" fillId="0" borderId="38" xfId="0" applyNumberFormat="1" applyFont="1" applyBorder="1" applyAlignment="1">
      <alignment/>
    </xf>
    <xf numFmtId="3" fontId="78" fillId="0" borderId="54" xfId="0" applyNumberFormat="1" applyFont="1" applyBorder="1" applyAlignment="1">
      <alignment/>
    </xf>
    <xf numFmtId="0" fontId="78" fillId="0" borderId="22" xfId="0" applyFont="1" applyBorder="1" applyAlignment="1">
      <alignment horizontal="left" indent="1"/>
    </xf>
    <xf numFmtId="0" fontId="11" fillId="7" borderId="27" xfId="0" applyFont="1" applyFill="1" applyBorder="1" applyAlignment="1">
      <alignment horizontal="center" wrapText="1"/>
    </xf>
    <xf numFmtId="0" fontId="11" fillId="7" borderId="27" xfId="0" applyFont="1" applyFill="1" applyBorder="1" applyAlignment="1">
      <alignment/>
    </xf>
    <xf numFmtId="0" fontId="11" fillId="7" borderId="27" xfId="0" applyFont="1" applyFill="1" applyBorder="1" applyAlignment="1">
      <alignment horizontal="center"/>
    </xf>
    <xf numFmtId="0" fontId="11" fillId="7" borderId="27" xfId="0" applyFont="1" applyFill="1" applyBorder="1" applyAlignment="1">
      <alignment horizontal="right"/>
    </xf>
    <xf numFmtId="0" fontId="78" fillId="0" borderId="0" xfId="0" applyFont="1" applyAlignment="1">
      <alignment horizontal="left" vertical="top" wrapText="1"/>
    </xf>
    <xf numFmtId="0" fontId="84" fillId="0" borderId="0" xfId="0" applyFont="1" applyAlignment="1">
      <alignment/>
    </xf>
    <xf numFmtId="3" fontId="13" fillId="0" borderId="28" xfId="48" applyNumberFormat="1" applyFont="1" applyFill="1" applyBorder="1" applyAlignment="1">
      <alignment vertical="center"/>
      <protection/>
    </xf>
    <xf numFmtId="3" fontId="13" fillId="0" borderId="27" xfId="48" applyNumberFormat="1" applyFont="1" applyFill="1" applyBorder="1" applyAlignment="1">
      <alignment vertical="center"/>
      <protection/>
    </xf>
    <xf numFmtId="3" fontId="13" fillId="0" borderId="37" xfId="48" applyNumberFormat="1" applyFont="1" applyFill="1" applyBorder="1" applyAlignment="1">
      <alignment vertical="center"/>
      <protection/>
    </xf>
    <xf numFmtId="0" fontId="78" fillId="0" borderId="21" xfId="0" applyFont="1" applyBorder="1" applyAlignment="1">
      <alignment horizontal="left" indent="1"/>
    </xf>
    <xf numFmtId="0" fontId="78" fillId="0" borderId="23" xfId="0" applyFont="1" applyBorder="1" applyAlignment="1">
      <alignment horizontal="left" indent="1"/>
    </xf>
    <xf numFmtId="3" fontId="13" fillId="0" borderId="29" xfId="48" applyNumberFormat="1" applyFont="1" applyFill="1" applyBorder="1" applyAlignment="1">
      <alignment vertical="center"/>
      <protection/>
    </xf>
    <xf numFmtId="3" fontId="13" fillId="0" borderId="30" xfId="48" applyNumberFormat="1" applyFont="1" applyFill="1" applyBorder="1" applyAlignment="1">
      <alignment vertical="center"/>
      <protection/>
    </xf>
    <xf numFmtId="3" fontId="13" fillId="0" borderId="38" xfId="48" applyNumberFormat="1" applyFont="1" applyFill="1" applyBorder="1" applyAlignment="1">
      <alignment vertical="center"/>
      <protection/>
    </xf>
    <xf numFmtId="3" fontId="12" fillId="7" borderId="31" xfId="48" applyNumberFormat="1" applyFont="1" applyFill="1" applyBorder="1" applyAlignment="1">
      <alignment vertical="center"/>
      <protection/>
    </xf>
    <xf numFmtId="3" fontId="12" fillId="7" borderId="39" xfId="48" applyNumberFormat="1" applyFont="1" applyFill="1" applyBorder="1" applyAlignment="1">
      <alignment vertical="center"/>
      <protection/>
    </xf>
    <xf numFmtId="3" fontId="12" fillId="7" borderId="32" xfId="48" applyNumberFormat="1" applyFont="1" applyFill="1" applyBorder="1" applyAlignment="1">
      <alignment vertical="center"/>
      <protection/>
    </xf>
    <xf numFmtId="3" fontId="13" fillId="0" borderId="54" xfId="48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 wrapText="1"/>
    </xf>
    <xf numFmtId="0" fontId="82" fillId="0" borderId="0" xfId="0" applyFont="1" applyBorder="1" applyAlignment="1">
      <alignment horizontal="left"/>
    </xf>
    <xf numFmtId="0" fontId="78" fillId="0" borderId="0" xfId="0" applyFont="1" applyFill="1" applyBorder="1" applyAlignment="1">
      <alignment/>
    </xf>
    <xf numFmtId="3" fontId="78" fillId="0" borderId="48" xfId="0" applyNumberFormat="1" applyFont="1" applyBorder="1" applyAlignment="1">
      <alignment horizontal="right" vertical="top"/>
    </xf>
    <xf numFmtId="3" fontId="78" fillId="4" borderId="48" xfId="0" applyNumberFormat="1" applyFont="1" applyFill="1" applyBorder="1" applyAlignment="1">
      <alignment horizontal="right" vertical="top"/>
    </xf>
    <xf numFmtId="3" fontId="78" fillId="0" borderId="47" xfId="0" applyNumberFormat="1" applyFont="1" applyBorder="1" applyAlignment="1">
      <alignment horizontal="right" vertical="top"/>
    </xf>
    <xf numFmtId="0" fontId="84" fillId="0" borderId="17" xfId="0" applyFont="1" applyBorder="1" applyAlignment="1">
      <alignment vertical="top" wrapText="1"/>
    </xf>
    <xf numFmtId="3" fontId="84" fillId="0" borderId="18" xfId="0" applyNumberFormat="1" applyFont="1" applyFill="1" applyBorder="1" applyAlignment="1">
      <alignment horizontal="right" vertical="top"/>
    </xf>
    <xf numFmtId="3" fontId="84" fillId="0" borderId="18" xfId="0" applyNumberFormat="1" applyFont="1" applyBorder="1" applyAlignment="1">
      <alignment horizontal="right" vertical="top"/>
    </xf>
    <xf numFmtId="3" fontId="84" fillId="4" borderId="18" xfId="0" applyNumberFormat="1" applyFont="1" applyFill="1" applyBorder="1" applyAlignment="1">
      <alignment horizontal="right" vertical="top"/>
    </xf>
    <xf numFmtId="3" fontId="84" fillId="0" borderId="19" xfId="0" applyNumberFormat="1" applyFont="1" applyBorder="1" applyAlignment="1">
      <alignment horizontal="right" vertical="top"/>
    </xf>
    <xf numFmtId="0" fontId="84" fillId="7" borderId="16" xfId="0" applyFont="1" applyFill="1" applyBorder="1" applyAlignment="1">
      <alignment horizontal="center" vertical="center" wrapText="1"/>
    </xf>
    <xf numFmtId="0" fontId="84" fillId="7" borderId="56" xfId="0" applyFont="1" applyFill="1" applyBorder="1" applyAlignment="1">
      <alignment horizontal="center" vertical="center" wrapText="1"/>
    </xf>
    <xf numFmtId="0" fontId="84" fillId="7" borderId="18" xfId="0" applyFont="1" applyFill="1" applyBorder="1" applyAlignment="1">
      <alignment horizontal="center" vertical="center" wrapText="1"/>
    </xf>
    <xf numFmtId="0" fontId="84" fillId="7" borderId="17" xfId="0" applyFont="1" applyFill="1" applyBorder="1" applyAlignment="1">
      <alignment horizontal="center" vertical="center" wrapText="1"/>
    </xf>
    <xf numFmtId="0" fontId="84" fillId="7" borderId="15" xfId="0" applyFont="1" applyFill="1" applyBorder="1" applyAlignment="1">
      <alignment horizontal="center" vertical="center" wrapText="1"/>
    </xf>
    <xf numFmtId="0" fontId="78" fillId="0" borderId="28" xfId="0" applyFont="1" applyBorder="1" applyAlignment="1">
      <alignment/>
    </xf>
    <xf numFmtId="0" fontId="78" fillId="0" borderId="59" xfId="0" applyFont="1" applyBorder="1" applyAlignment="1">
      <alignment/>
    </xf>
    <xf numFmtId="0" fontId="78" fillId="0" borderId="55" xfId="0" applyFont="1" applyBorder="1" applyAlignment="1">
      <alignment/>
    </xf>
    <xf numFmtId="0" fontId="78" fillId="0" borderId="27" xfId="0" applyFont="1" applyBorder="1" applyAlignment="1">
      <alignment/>
    </xf>
    <xf numFmtId="0" fontId="78" fillId="0" borderId="33" xfId="0" applyFont="1" applyBorder="1" applyAlignment="1">
      <alignment/>
    </xf>
    <xf numFmtId="0" fontId="78" fillId="0" borderId="54" xfId="0" applyFont="1" applyBorder="1" applyAlignment="1">
      <alignment/>
    </xf>
    <xf numFmtId="0" fontId="78" fillId="0" borderId="30" xfId="0" applyFont="1" applyBorder="1" applyAlignment="1">
      <alignment/>
    </xf>
    <xf numFmtId="0" fontId="78" fillId="0" borderId="34" xfId="0" applyFont="1" applyBorder="1" applyAlignment="1">
      <alignment/>
    </xf>
    <xf numFmtId="0" fontId="78" fillId="0" borderId="29" xfId="0" applyFont="1" applyBorder="1" applyAlignment="1">
      <alignment/>
    </xf>
    <xf numFmtId="0" fontId="78" fillId="0" borderId="60" xfId="0" applyFont="1" applyBorder="1" applyAlignment="1">
      <alignment/>
    </xf>
    <xf numFmtId="0" fontId="84" fillId="7" borderId="35" xfId="0" applyFont="1" applyFill="1" applyBorder="1" applyAlignment="1">
      <alignment horizontal="center" vertical="center" wrapText="1"/>
    </xf>
    <xf numFmtId="0" fontId="84" fillId="7" borderId="21" xfId="0" applyFont="1" applyFill="1" applyBorder="1" applyAlignment="1">
      <alignment horizontal="left"/>
    </xf>
    <xf numFmtId="3" fontId="13" fillId="0" borderId="33" xfId="48" applyNumberFormat="1" applyFont="1" applyFill="1" applyBorder="1" applyAlignment="1">
      <alignment vertical="center"/>
      <protection/>
    </xf>
    <xf numFmtId="3" fontId="13" fillId="0" borderId="34" xfId="48" applyNumberFormat="1" applyFont="1" applyFill="1" applyBorder="1" applyAlignment="1">
      <alignment vertical="center"/>
      <protection/>
    </xf>
    <xf numFmtId="0" fontId="85" fillId="0" borderId="21" xfId="0" applyFont="1" applyBorder="1" applyAlignment="1">
      <alignment/>
    </xf>
    <xf numFmtId="0" fontId="83" fillId="0" borderId="13" xfId="0" applyFont="1" applyBorder="1" applyAlignment="1">
      <alignment/>
    </xf>
    <xf numFmtId="4" fontId="83" fillId="13" borderId="27" xfId="0" applyNumberFormat="1" applyFont="1" applyFill="1" applyBorder="1" applyAlignment="1">
      <alignment/>
    </xf>
    <xf numFmtId="4" fontId="85" fillId="13" borderId="37" xfId="0" applyNumberFormat="1" applyFont="1" applyFill="1" applyBorder="1" applyAlignment="1">
      <alignment/>
    </xf>
    <xf numFmtId="49" fontId="12" fillId="7" borderId="18" xfId="0" applyNumberFormat="1" applyFont="1" applyFill="1" applyBorder="1" applyAlignment="1">
      <alignment vertical="center" wrapText="1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wrapText="1"/>
    </xf>
    <xf numFmtId="0" fontId="88" fillId="0" borderId="0" xfId="0" applyFont="1" applyFill="1" applyAlignment="1">
      <alignment wrapText="1"/>
    </xf>
    <xf numFmtId="0" fontId="94" fillId="0" borderId="0" xfId="0" applyFont="1" applyFill="1" applyAlignment="1">
      <alignment/>
    </xf>
    <xf numFmtId="3" fontId="13" fillId="0" borderId="28" xfId="48" applyNumberFormat="1" applyFont="1" applyFill="1" applyBorder="1" applyAlignment="1">
      <alignment vertical="center"/>
      <protection/>
    </xf>
    <xf numFmtId="0" fontId="12" fillId="33" borderId="28" xfId="0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vertical="center" wrapText="1"/>
    </xf>
    <xf numFmtId="3" fontId="12" fillId="0" borderId="28" xfId="48" applyNumberFormat="1" applyFont="1" applyFill="1" applyBorder="1" applyAlignment="1">
      <alignment vertical="center"/>
      <protection/>
    </xf>
    <xf numFmtId="3" fontId="12" fillId="0" borderId="55" xfId="48" applyNumberFormat="1" applyFont="1" applyFill="1" applyBorder="1" applyAlignment="1">
      <alignment vertical="center"/>
      <protection/>
    </xf>
    <xf numFmtId="3" fontId="12" fillId="0" borderId="37" xfId="48" applyNumberFormat="1" applyFont="1" applyFill="1" applyBorder="1" applyAlignment="1">
      <alignment vertical="center"/>
      <protection/>
    </xf>
    <xf numFmtId="3" fontId="12" fillId="0" borderId="27" xfId="48" applyNumberFormat="1" applyFont="1" applyFill="1" applyBorder="1" applyAlignment="1">
      <alignment vertical="center"/>
      <protection/>
    </xf>
    <xf numFmtId="3" fontId="12" fillId="0" borderId="59" xfId="48" applyNumberFormat="1" applyFont="1" applyFill="1" applyBorder="1" applyAlignment="1">
      <alignment vertical="center"/>
      <protection/>
    </xf>
    <xf numFmtId="3" fontId="12" fillId="0" borderId="28" xfId="48" applyNumberFormat="1" applyFont="1" applyFill="1" applyBorder="1" applyAlignment="1">
      <alignment vertical="center"/>
      <protection/>
    </xf>
    <xf numFmtId="0" fontId="12" fillId="33" borderId="29" xfId="0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vertical="center" wrapText="1"/>
    </xf>
    <xf numFmtId="3" fontId="12" fillId="0" borderId="29" xfId="48" applyNumberFormat="1" applyFont="1" applyFill="1" applyBorder="1" applyAlignment="1">
      <alignment vertical="center"/>
      <protection/>
    </xf>
    <xf numFmtId="3" fontId="12" fillId="0" borderId="54" xfId="48" applyNumberFormat="1" applyFont="1" applyFill="1" applyBorder="1" applyAlignment="1">
      <alignment vertical="center"/>
      <protection/>
    </xf>
    <xf numFmtId="3" fontId="12" fillId="0" borderId="38" xfId="48" applyNumberFormat="1" applyFont="1" applyFill="1" applyBorder="1" applyAlignment="1">
      <alignment vertical="center"/>
      <protection/>
    </xf>
    <xf numFmtId="3" fontId="12" fillId="0" borderId="30" xfId="48" applyNumberFormat="1" applyFont="1" applyFill="1" applyBorder="1" applyAlignment="1">
      <alignment vertical="center"/>
      <protection/>
    </xf>
    <xf numFmtId="3" fontId="12" fillId="0" borderId="60" xfId="48" applyNumberFormat="1" applyFont="1" applyFill="1" applyBorder="1" applyAlignment="1">
      <alignment vertical="center"/>
      <protection/>
    </xf>
    <xf numFmtId="0" fontId="13" fillId="33" borderId="28" xfId="0" applyFont="1" applyFill="1" applyBorder="1" applyAlignment="1">
      <alignment horizontal="center" vertical="center"/>
    </xf>
    <xf numFmtId="3" fontId="13" fillId="0" borderId="48" xfId="48" applyNumberFormat="1" applyFont="1" applyFill="1" applyBorder="1" applyAlignment="1">
      <alignment vertical="center"/>
      <protection/>
    </xf>
    <xf numFmtId="0" fontId="78" fillId="0" borderId="21" xfId="0" applyFont="1" applyFill="1" applyBorder="1" applyAlignment="1">
      <alignment horizontal="left" indent="1"/>
    </xf>
    <xf numFmtId="3" fontId="13" fillId="0" borderId="47" xfId="48" applyNumberFormat="1" applyFont="1" applyFill="1" applyBorder="1" applyAlignment="1">
      <alignment vertical="center"/>
      <protection/>
    </xf>
    <xf numFmtId="0" fontId="78" fillId="34" borderId="21" xfId="0" applyFont="1" applyFill="1" applyBorder="1" applyAlignment="1">
      <alignment horizontal="left" indent="1"/>
    </xf>
    <xf numFmtId="0" fontId="78" fillId="0" borderId="67" xfId="0" applyFont="1" applyBorder="1" applyAlignment="1">
      <alignment horizontal="left" indent="1"/>
    </xf>
    <xf numFmtId="0" fontId="78" fillId="0" borderId="25" xfId="0" applyFont="1" applyBorder="1" applyAlignment="1">
      <alignment horizontal="left" indent="1"/>
    </xf>
    <xf numFmtId="3" fontId="12" fillId="0" borderId="55" xfId="50" applyNumberFormat="1" applyFont="1" applyFill="1" applyBorder="1" applyAlignment="1">
      <alignment vertical="center"/>
    </xf>
    <xf numFmtId="4" fontId="78" fillId="0" borderId="41" xfId="0" applyNumberFormat="1" applyFont="1" applyFill="1" applyBorder="1" applyAlignment="1">
      <alignment/>
    </xf>
    <xf numFmtId="4" fontId="78" fillId="0" borderId="37" xfId="0" applyNumberFormat="1" applyFont="1" applyFill="1" applyBorder="1" applyAlignment="1">
      <alignment/>
    </xf>
    <xf numFmtId="4" fontId="78" fillId="0" borderId="48" xfId="0" applyNumberFormat="1" applyFont="1" applyFill="1" applyBorder="1" applyAlignment="1">
      <alignment/>
    </xf>
    <xf numFmtId="4" fontId="78" fillId="0" borderId="47" xfId="0" applyNumberFormat="1" applyFont="1" applyFill="1" applyBorder="1" applyAlignment="1">
      <alignment/>
    </xf>
    <xf numFmtId="4" fontId="84" fillId="0" borderId="17" xfId="0" applyNumberFormat="1" applyFont="1" applyFill="1" applyBorder="1" applyAlignment="1">
      <alignment/>
    </xf>
    <xf numFmtId="4" fontId="84" fillId="0" borderId="18" xfId="0" applyNumberFormat="1" applyFont="1" applyFill="1" applyBorder="1" applyAlignment="1">
      <alignment/>
    </xf>
    <xf numFmtId="4" fontId="84" fillId="0" borderId="19" xfId="0" applyNumberFormat="1" applyFont="1" applyFill="1" applyBorder="1" applyAlignment="1">
      <alignment/>
    </xf>
    <xf numFmtId="4" fontId="78" fillId="0" borderId="38" xfId="0" applyNumberFormat="1" applyFont="1" applyFill="1" applyBorder="1" applyAlignment="1">
      <alignment/>
    </xf>
    <xf numFmtId="4" fontId="78" fillId="0" borderId="31" xfId="0" applyNumberFormat="1" applyFont="1" applyFill="1" applyBorder="1" applyAlignment="1">
      <alignment/>
    </xf>
    <xf numFmtId="4" fontId="78" fillId="0" borderId="32" xfId="0" applyNumberFormat="1" applyFont="1" applyFill="1" applyBorder="1" applyAlignment="1">
      <alignment/>
    </xf>
    <xf numFmtId="4" fontId="78" fillId="0" borderId="39" xfId="0" applyNumberFormat="1" applyFont="1" applyFill="1" applyBorder="1" applyAlignment="1">
      <alignment/>
    </xf>
    <xf numFmtId="4" fontId="78" fillId="0" borderId="29" xfId="0" applyNumberFormat="1" applyFont="1" applyFill="1" applyBorder="1" applyAlignment="1">
      <alignment/>
    </xf>
    <xf numFmtId="4" fontId="78" fillId="0" borderId="30" xfId="0" applyNumberFormat="1" applyFont="1" applyFill="1" applyBorder="1" applyAlignment="1">
      <alignment/>
    </xf>
    <xf numFmtId="4" fontId="78" fillId="0" borderId="38" xfId="0" applyNumberFormat="1" applyFont="1" applyFill="1" applyBorder="1" applyAlignment="1">
      <alignment/>
    </xf>
    <xf numFmtId="4" fontId="84" fillId="0" borderId="17" xfId="0" applyNumberFormat="1" applyFont="1" applyFill="1" applyBorder="1" applyAlignment="1">
      <alignment/>
    </xf>
    <xf numFmtId="4" fontId="84" fillId="0" borderId="18" xfId="0" applyNumberFormat="1" applyFont="1" applyFill="1" applyBorder="1" applyAlignment="1">
      <alignment/>
    </xf>
    <xf numFmtId="4" fontId="84" fillId="0" borderId="19" xfId="0" applyNumberFormat="1" applyFont="1" applyFill="1" applyBorder="1" applyAlignment="1">
      <alignment/>
    </xf>
    <xf numFmtId="0" fontId="78" fillId="0" borderId="53" xfId="0" applyFont="1" applyBorder="1" applyAlignment="1">
      <alignment horizontal="left" vertical="center" indent="3"/>
    </xf>
    <xf numFmtId="3" fontId="78" fillId="0" borderId="42" xfId="0" applyNumberFormat="1" applyFont="1" applyBorder="1" applyAlignment="1">
      <alignment vertical="center"/>
    </xf>
    <xf numFmtId="3" fontId="78" fillId="0" borderId="41" xfId="0" applyNumberFormat="1" applyFont="1" applyBorder="1" applyAlignment="1">
      <alignment vertical="center"/>
    </xf>
    <xf numFmtId="3" fontId="78" fillId="0" borderId="27" xfId="0" applyNumberFormat="1" applyFont="1" applyBorder="1" applyAlignment="1">
      <alignment vertical="center"/>
    </xf>
    <xf numFmtId="3" fontId="78" fillId="0" borderId="37" xfId="0" applyNumberFormat="1" applyFont="1" applyBorder="1" applyAlignment="1">
      <alignment vertical="center"/>
    </xf>
    <xf numFmtId="3" fontId="78" fillId="0" borderId="48" xfId="0" applyNumberFormat="1" applyFont="1" applyBorder="1" applyAlignment="1">
      <alignment vertical="center"/>
    </xf>
    <xf numFmtId="3" fontId="78" fillId="0" borderId="47" xfId="0" applyNumberFormat="1" applyFont="1" applyBorder="1" applyAlignment="1">
      <alignment vertical="center"/>
    </xf>
    <xf numFmtId="3" fontId="84" fillId="0" borderId="18" xfId="0" applyNumberFormat="1" applyFont="1" applyFill="1" applyBorder="1" applyAlignment="1">
      <alignment vertical="center"/>
    </xf>
    <xf numFmtId="3" fontId="84" fillId="0" borderId="19" xfId="0" applyNumberFormat="1" applyFont="1" applyFill="1" applyBorder="1" applyAlignment="1">
      <alignment vertical="center"/>
    </xf>
    <xf numFmtId="49" fontId="84" fillId="7" borderId="18" xfId="0" applyNumberFormat="1" applyFont="1" applyFill="1" applyBorder="1" applyAlignment="1">
      <alignment vertical="center" wrapText="1"/>
    </xf>
    <xf numFmtId="3" fontId="13" fillId="0" borderId="29" xfId="48" applyNumberFormat="1" applyFont="1" applyFill="1" applyBorder="1" applyAlignment="1">
      <alignment vertical="center"/>
      <protection/>
    </xf>
    <xf numFmtId="3" fontId="13" fillId="0" borderId="30" xfId="48" applyNumberFormat="1" applyFont="1" applyFill="1" applyBorder="1" applyAlignment="1">
      <alignment vertical="center"/>
      <protection/>
    </xf>
    <xf numFmtId="3" fontId="13" fillId="0" borderId="38" xfId="48" applyNumberFormat="1" applyFont="1" applyFill="1" applyBorder="1" applyAlignment="1">
      <alignment vertical="center"/>
      <protection/>
    </xf>
    <xf numFmtId="3" fontId="85" fillId="0" borderId="67" xfId="0" applyNumberFormat="1" applyFont="1" applyBorder="1" applyAlignment="1">
      <alignment/>
    </xf>
    <xf numFmtId="3" fontId="85" fillId="0" borderId="24" xfId="0" applyNumberFormat="1" applyFont="1" applyBorder="1" applyAlignment="1">
      <alignment/>
    </xf>
    <xf numFmtId="0" fontId="85" fillId="0" borderId="29" xfId="0" applyFont="1" applyBorder="1" applyAlignment="1">
      <alignment/>
    </xf>
    <xf numFmtId="3" fontId="85" fillId="0" borderId="29" xfId="0" applyNumberFormat="1" applyFont="1" applyBorder="1" applyAlignment="1">
      <alignment/>
    </xf>
    <xf numFmtId="3" fontId="85" fillId="0" borderId="38" xfId="0" applyNumberFormat="1" applyFont="1" applyBorder="1" applyAlignment="1">
      <alignment/>
    </xf>
    <xf numFmtId="3" fontId="85" fillId="0" borderId="68" xfId="0" applyNumberFormat="1" applyFont="1" applyBorder="1" applyAlignment="1">
      <alignment/>
    </xf>
    <xf numFmtId="0" fontId="85" fillId="0" borderId="20" xfId="0" applyFont="1" applyBorder="1" applyAlignment="1">
      <alignment/>
    </xf>
    <xf numFmtId="10" fontId="78" fillId="0" borderId="16" xfId="0" applyNumberFormat="1" applyFont="1" applyBorder="1" applyAlignment="1">
      <alignment/>
    </xf>
    <xf numFmtId="0" fontId="83" fillId="13" borderId="28" xfId="0" applyFont="1" applyFill="1" applyBorder="1" applyAlignment="1">
      <alignment/>
    </xf>
    <xf numFmtId="4" fontId="83" fillId="13" borderId="28" xfId="0" applyNumberFormat="1" applyFont="1" applyFill="1" applyBorder="1" applyAlignment="1">
      <alignment/>
    </xf>
    <xf numFmtId="0" fontId="83" fillId="13" borderId="29" xfId="0" applyFont="1" applyFill="1" applyBorder="1" applyAlignment="1">
      <alignment/>
    </xf>
    <xf numFmtId="4" fontId="83" fillId="13" borderId="29" xfId="0" applyNumberFormat="1" applyFont="1" applyFill="1" applyBorder="1" applyAlignment="1">
      <alignment/>
    </xf>
    <xf numFmtId="4" fontId="83" fillId="13" borderId="30" xfId="0" applyNumberFormat="1" applyFont="1" applyFill="1" applyBorder="1" applyAlignment="1">
      <alignment/>
    </xf>
    <xf numFmtId="4" fontId="83" fillId="13" borderId="38" xfId="0" applyNumberFormat="1" applyFont="1" applyFill="1" applyBorder="1" applyAlignment="1">
      <alignment/>
    </xf>
    <xf numFmtId="10" fontId="83" fillId="7" borderId="45" xfId="50" applyNumberFormat="1" applyFont="1" applyFill="1" applyBorder="1" applyAlignment="1">
      <alignment horizontal="right" vertical="center"/>
    </xf>
    <xf numFmtId="0" fontId="11" fillId="11" borderId="40" xfId="0" applyFont="1" applyFill="1" applyBorder="1" applyAlignment="1">
      <alignment horizontal="center" vertical="center"/>
    </xf>
    <xf numFmtId="49" fontId="11" fillId="11" borderId="42" xfId="0" applyNumberFormat="1" applyFont="1" applyFill="1" applyBorder="1" applyAlignment="1">
      <alignment vertical="center" wrapText="1"/>
    </xf>
    <xf numFmtId="164" fontId="11" fillId="11" borderId="43" xfId="0" applyNumberFormat="1" applyFont="1" applyFill="1" applyBorder="1" applyAlignment="1">
      <alignment horizontal="center" vertical="center"/>
    </xf>
    <xf numFmtId="3" fontId="11" fillId="11" borderId="31" xfId="50" applyNumberFormat="1" applyFont="1" applyFill="1" applyBorder="1" applyAlignment="1">
      <alignment vertical="center"/>
    </xf>
    <xf numFmtId="3" fontId="11" fillId="11" borderId="32" xfId="48" applyNumberFormat="1" applyFont="1" applyFill="1" applyBorder="1" applyAlignment="1">
      <alignment vertical="center"/>
      <protection/>
    </xf>
    <xf numFmtId="10" fontId="11" fillId="11" borderId="42" xfId="50" applyNumberFormat="1" applyFont="1" applyFill="1" applyBorder="1" applyAlignment="1">
      <alignment vertical="center"/>
    </xf>
    <xf numFmtId="3" fontId="11" fillId="11" borderId="42" xfId="48" applyNumberFormat="1" applyFont="1" applyFill="1" applyBorder="1" applyAlignment="1">
      <alignment vertical="center"/>
      <protection/>
    </xf>
    <xf numFmtId="3" fontId="11" fillId="11" borderId="41" xfId="48" applyNumberFormat="1" applyFont="1" applyFill="1" applyBorder="1" applyAlignment="1">
      <alignment vertical="center"/>
      <protection/>
    </xf>
    <xf numFmtId="49" fontId="13" fillId="33" borderId="27" xfId="0" applyNumberFormat="1" applyFont="1" applyFill="1" applyBorder="1" applyAlignment="1">
      <alignment vertical="center" wrapText="1"/>
    </xf>
    <xf numFmtId="10" fontId="13" fillId="0" borderId="27" xfId="50" applyNumberFormat="1" applyFont="1" applyFill="1" applyBorder="1" applyAlignment="1">
      <alignment vertical="center"/>
    </xf>
    <xf numFmtId="0" fontId="11" fillId="11" borderId="28" xfId="0" applyFont="1" applyFill="1" applyBorder="1" applyAlignment="1">
      <alignment horizontal="center" vertical="center"/>
    </xf>
    <xf numFmtId="49" fontId="11" fillId="11" borderId="27" xfId="0" applyNumberFormat="1" applyFont="1" applyFill="1" applyBorder="1" applyAlignment="1">
      <alignment vertical="center" wrapText="1"/>
    </xf>
    <xf numFmtId="164" fontId="11" fillId="11" borderId="33" xfId="0" applyNumberFormat="1" applyFont="1" applyFill="1" applyBorder="1" applyAlignment="1">
      <alignment horizontal="center" vertical="center"/>
    </xf>
    <xf numFmtId="3" fontId="11" fillId="11" borderId="28" xfId="48" applyNumberFormat="1" applyFont="1" applyFill="1" applyBorder="1" applyAlignment="1">
      <alignment vertical="center"/>
      <protection/>
    </xf>
    <xf numFmtId="3" fontId="11" fillId="11" borderId="59" xfId="48" applyNumberFormat="1" applyFont="1" applyFill="1" applyBorder="1" applyAlignment="1">
      <alignment vertical="center"/>
      <protection/>
    </xf>
    <xf numFmtId="3" fontId="11" fillId="11" borderId="55" xfId="50" applyNumberFormat="1" applyFont="1" applyFill="1" applyBorder="1" applyAlignment="1">
      <alignment vertical="center"/>
    </xf>
    <xf numFmtId="3" fontId="11" fillId="11" borderId="27" xfId="48" applyNumberFormat="1" applyFont="1" applyFill="1" applyBorder="1" applyAlignment="1">
      <alignment vertical="center"/>
      <protection/>
    </xf>
    <xf numFmtId="3" fontId="11" fillId="11" borderId="37" xfId="48" applyNumberFormat="1" applyFont="1" applyFill="1" applyBorder="1" applyAlignment="1">
      <alignment vertical="center"/>
      <protection/>
    </xf>
    <xf numFmtId="3" fontId="11" fillId="11" borderId="33" xfId="50" applyNumberFormat="1" applyFont="1" applyFill="1" applyBorder="1" applyAlignment="1">
      <alignment vertical="center"/>
    </xf>
    <xf numFmtId="10" fontId="11" fillId="11" borderId="27" xfId="50" applyNumberFormat="1" applyFont="1" applyFill="1" applyBorder="1" applyAlignment="1">
      <alignment vertical="center"/>
    </xf>
    <xf numFmtId="0" fontId="13" fillId="33" borderId="29" xfId="0" applyFont="1" applyFill="1" applyBorder="1" applyAlignment="1">
      <alignment horizontal="center" vertical="center"/>
    </xf>
    <xf numFmtId="49" fontId="13" fillId="33" borderId="30" xfId="0" applyNumberFormat="1" applyFont="1" applyFill="1" applyBorder="1" applyAlignment="1">
      <alignment vertical="center" wrapText="1"/>
    </xf>
    <xf numFmtId="3" fontId="13" fillId="0" borderId="54" xfId="50" applyNumberFormat="1" applyFont="1" applyFill="1" applyBorder="1" applyAlignment="1">
      <alignment vertical="center"/>
    </xf>
    <xf numFmtId="10" fontId="13" fillId="0" borderId="30" xfId="50" applyNumberFormat="1" applyFont="1" applyFill="1" applyBorder="1" applyAlignment="1">
      <alignment vertical="center"/>
    </xf>
    <xf numFmtId="3" fontId="82" fillId="7" borderId="17" xfId="0" applyNumberFormat="1" applyFont="1" applyFill="1" applyBorder="1" applyAlignment="1">
      <alignment horizontal="right" vertical="center" wrapText="1"/>
    </xf>
    <xf numFmtId="3" fontId="82" fillId="7" borderId="15" xfId="0" applyNumberFormat="1" applyFont="1" applyFill="1" applyBorder="1" applyAlignment="1">
      <alignment horizontal="right" vertical="center" wrapText="1"/>
    </xf>
    <xf numFmtId="10" fontId="82" fillId="7" borderId="18" xfId="50" applyNumberFormat="1" applyFont="1" applyFill="1" applyBorder="1" applyAlignment="1">
      <alignment horizontal="right" vertical="center"/>
    </xf>
    <xf numFmtId="3" fontId="11" fillId="11" borderId="40" xfId="0" applyNumberFormat="1" applyFont="1" applyFill="1" applyBorder="1" applyAlignment="1">
      <alignment horizontal="right" vertical="center"/>
    </xf>
    <xf numFmtId="3" fontId="11" fillId="11" borderId="52" xfId="50" applyNumberFormat="1" applyFont="1" applyFill="1" applyBorder="1" applyAlignment="1">
      <alignment vertical="center"/>
    </xf>
    <xf numFmtId="3" fontId="11" fillId="11" borderId="40" xfId="48" applyNumberFormat="1" applyFont="1" applyFill="1" applyBorder="1" applyAlignment="1">
      <alignment vertical="center"/>
      <protection/>
    </xf>
    <xf numFmtId="3" fontId="12" fillId="11" borderId="28" xfId="48" applyNumberFormat="1" applyFont="1" applyFill="1" applyBorder="1" applyAlignment="1">
      <alignment vertical="center"/>
      <protection/>
    </xf>
    <xf numFmtId="3" fontId="11" fillId="11" borderId="28" xfId="50" applyNumberFormat="1" applyFont="1" applyFill="1" applyBorder="1" applyAlignment="1">
      <alignment vertical="center"/>
    </xf>
    <xf numFmtId="3" fontId="12" fillId="11" borderId="55" xfId="48" applyNumberFormat="1" applyFont="1" applyFill="1" applyBorder="1" applyAlignment="1">
      <alignment vertical="center"/>
      <protection/>
    </xf>
    <xf numFmtId="49" fontId="13" fillId="33" borderId="27" xfId="0" applyNumberFormat="1" applyFont="1" applyFill="1" applyBorder="1" applyAlignment="1">
      <alignment horizontal="left" vertical="center" wrapText="1" indent="4"/>
    </xf>
    <xf numFmtId="3" fontId="13" fillId="33" borderId="29" xfId="0" applyNumberFormat="1" applyFont="1" applyFill="1" applyBorder="1" applyAlignment="1">
      <alignment horizontal="center" vertical="center"/>
    </xf>
    <xf numFmtId="3" fontId="84" fillId="7" borderId="17" xfId="0" applyNumberFormat="1" applyFont="1" applyFill="1" applyBorder="1" applyAlignment="1">
      <alignment horizontal="right" vertical="center" wrapText="1"/>
    </xf>
    <xf numFmtId="10" fontId="84" fillId="7" borderId="18" xfId="50" applyNumberFormat="1" applyFont="1" applyFill="1" applyBorder="1" applyAlignment="1">
      <alignment horizontal="right" vertical="center"/>
    </xf>
    <xf numFmtId="49" fontId="12" fillId="7" borderId="18" xfId="0" applyNumberFormat="1" applyFont="1" applyFill="1" applyBorder="1" applyAlignment="1">
      <alignment vertical="center" wrapText="1"/>
    </xf>
    <xf numFmtId="0" fontId="13" fillId="0" borderId="69" xfId="46" applyFont="1" applyFill="1" applyBorder="1" applyAlignment="1">
      <alignment horizontal="left" indent="4"/>
      <protection/>
    </xf>
    <xf numFmtId="0" fontId="13" fillId="0" borderId="70" xfId="46" applyFont="1" applyFill="1" applyBorder="1" applyAlignment="1">
      <alignment horizontal="left" wrapText="1" indent="4"/>
      <protection/>
    </xf>
    <xf numFmtId="0" fontId="84" fillId="7" borderId="39" xfId="0" applyFont="1" applyFill="1" applyBorder="1" applyAlignment="1">
      <alignment horizontal="center" vertical="center" wrapText="1"/>
    </xf>
    <xf numFmtId="3" fontId="78" fillId="0" borderId="0" xfId="0" applyNumberFormat="1" applyFont="1" applyAlignment="1">
      <alignment horizontal="right"/>
    </xf>
    <xf numFmtId="3" fontId="13" fillId="0" borderId="40" xfId="48" applyNumberFormat="1" applyFont="1" applyFill="1" applyBorder="1" applyAlignment="1">
      <alignment vertical="center"/>
      <protection/>
    </xf>
    <xf numFmtId="3" fontId="13" fillId="0" borderId="42" xfId="48" applyNumberFormat="1" applyFont="1" applyFill="1" applyBorder="1" applyAlignment="1">
      <alignment vertical="center"/>
      <protection/>
    </xf>
    <xf numFmtId="3" fontId="13" fillId="0" borderId="43" xfId="48" applyNumberFormat="1" applyFont="1" applyFill="1" applyBorder="1" applyAlignment="1">
      <alignment vertical="center"/>
      <protection/>
    </xf>
    <xf numFmtId="3" fontId="13" fillId="0" borderId="41" xfId="48" applyNumberFormat="1" applyFont="1" applyFill="1" applyBorder="1" applyAlignment="1">
      <alignment vertical="center"/>
      <protection/>
    </xf>
    <xf numFmtId="3" fontId="12" fillId="7" borderId="29" xfId="48" applyNumberFormat="1" applyFont="1" applyFill="1" applyBorder="1" applyAlignment="1">
      <alignment vertical="center"/>
      <protection/>
    </xf>
    <xf numFmtId="3" fontId="12" fillId="7" borderId="34" xfId="48" applyNumberFormat="1" applyFont="1" applyFill="1" applyBorder="1" applyAlignment="1">
      <alignment vertical="center"/>
      <protection/>
    </xf>
    <xf numFmtId="3" fontId="12" fillId="7" borderId="38" xfId="48" applyNumberFormat="1" applyFont="1" applyFill="1" applyBorder="1" applyAlignment="1">
      <alignment vertical="center"/>
      <protection/>
    </xf>
    <xf numFmtId="3" fontId="85" fillId="0" borderId="37" xfId="0" applyNumberFormat="1" applyFont="1" applyBorder="1" applyAlignment="1">
      <alignment/>
    </xf>
    <xf numFmtId="3" fontId="85" fillId="0" borderId="42" xfId="0" applyNumberFormat="1" applyFont="1" applyBorder="1" applyAlignment="1">
      <alignment/>
    </xf>
    <xf numFmtId="3" fontId="85" fillId="0" borderId="27" xfId="0" applyNumberFormat="1" applyFont="1" applyBorder="1" applyAlignment="1">
      <alignment/>
    </xf>
    <xf numFmtId="0" fontId="78" fillId="0" borderId="25" xfId="0" applyFont="1" applyBorder="1" applyAlignment="1">
      <alignment horizontal="left" vertical="justify"/>
    </xf>
    <xf numFmtId="0" fontId="78" fillId="0" borderId="26" xfId="0" applyFont="1" applyBorder="1" applyAlignment="1">
      <alignment horizontal="left" vertical="justify"/>
    </xf>
    <xf numFmtId="0" fontId="78" fillId="2" borderId="24" xfId="0" applyFont="1" applyFill="1" applyBorder="1" applyAlignment="1">
      <alignment horizontal="left" vertical="justify"/>
    </xf>
    <xf numFmtId="0" fontId="78" fillId="2" borderId="25" xfId="0" applyFont="1" applyFill="1" applyBorder="1" applyAlignment="1">
      <alignment horizontal="left" vertical="justify"/>
    </xf>
    <xf numFmtId="0" fontId="78" fillId="5" borderId="25" xfId="0" applyFont="1" applyFill="1" applyBorder="1" applyAlignment="1">
      <alignment horizontal="left" vertical="justify"/>
    </xf>
    <xf numFmtId="0" fontId="0" fillId="0" borderId="53" xfId="0" applyFont="1" applyBorder="1" applyAlignment="1">
      <alignment vertical="top" wrapText="1"/>
    </xf>
    <xf numFmtId="0" fontId="0" fillId="0" borderId="71" xfId="0" applyFont="1" applyBorder="1" applyAlignment="1">
      <alignment vertical="top" wrapText="1"/>
    </xf>
    <xf numFmtId="3" fontId="0" fillId="0" borderId="48" xfId="0" applyNumberFormat="1" applyFont="1" applyBorder="1" applyAlignment="1">
      <alignment horizontal="right" vertical="top"/>
    </xf>
    <xf numFmtId="0" fontId="0" fillId="0" borderId="48" xfId="0" applyFont="1" applyBorder="1" applyAlignment="1">
      <alignment vertical="top" wrapText="1"/>
    </xf>
    <xf numFmtId="3" fontId="0" fillId="0" borderId="27" xfId="0" applyNumberFormat="1" applyFont="1" applyBorder="1" applyAlignment="1">
      <alignment horizontal="right" vertical="top"/>
    </xf>
    <xf numFmtId="3" fontId="0" fillId="4" borderId="48" xfId="0" applyNumberFormat="1" applyFont="1" applyFill="1" applyBorder="1" applyAlignment="1">
      <alignment horizontal="right" vertical="top"/>
    </xf>
    <xf numFmtId="3" fontId="0" fillId="0" borderId="47" xfId="0" applyNumberFormat="1" applyFont="1" applyBorder="1" applyAlignment="1">
      <alignment horizontal="right" vertical="top"/>
    </xf>
    <xf numFmtId="49" fontId="0" fillId="0" borderId="53" xfId="0" applyNumberFormat="1" applyFont="1" applyBorder="1" applyAlignment="1">
      <alignment vertical="top" wrapText="1"/>
    </xf>
    <xf numFmtId="49" fontId="0" fillId="0" borderId="71" xfId="0" applyNumberFormat="1" applyFont="1" applyBorder="1" applyAlignment="1">
      <alignment vertical="top" wrapText="1"/>
    </xf>
    <xf numFmtId="0" fontId="84" fillId="0" borderId="0" xfId="0" applyFont="1" applyFill="1" applyAlignment="1">
      <alignment vertical="top" wrapText="1"/>
    </xf>
    <xf numFmtId="3" fontId="61" fillId="0" borderId="18" xfId="0" applyNumberFormat="1" applyFont="1" applyFill="1" applyBorder="1" applyAlignment="1">
      <alignment horizontal="right" vertical="top"/>
    </xf>
    <xf numFmtId="3" fontId="61" fillId="4" borderId="18" xfId="0" applyNumberFormat="1" applyFont="1" applyFill="1" applyBorder="1" applyAlignment="1">
      <alignment horizontal="right" vertical="top"/>
    </xf>
    <xf numFmtId="3" fontId="61" fillId="0" borderId="18" xfId="0" applyNumberFormat="1" applyFont="1" applyBorder="1" applyAlignment="1">
      <alignment horizontal="right" vertical="top"/>
    </xf>
    <xf numFmtId="3" fontId="61" fillId="0" borderId="19" xfId="0" applyNumberFormat="1" applyFont="1" applyBorder="1" applyAlignment="1">
      <alignment horizontal="right" vertical="top"/>
    </xf>
    <xf numFmtId="0" fontId="78" fillId="0" borderId="0" xfId="0" applyFont="1" applyFill="1" applyAlignment="1">
      <alignment vertical="top" wrapText="1"/>
    </xf>
    <xf numFmtId="0" fontId="78" fillId="0" borderId="53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8" fillId="0" borderId="0" xfId="0" applyFont="1" applyFill="1" applyBorder="1" applyAlignment="1">
      <alignment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4" fontId="78" fillId="0" borderId="40" xfId="0" applyNumberFormat="1" applyFont="1" applyFill="1" applyBorder="1" applyAlignment="1">
      <alignment/>
    </xf>
    <xf numFmtId="4" fontId="78" fillId="0" borderId="42" xfId="0" applyNumberFormat="1" applyFont="1" applyFill="1" applyBorder="1" applyAlignment="1">
      <alignment/>
    </xf>
    <xf numFmtId="4" fontId="78" fillId="0" borderId="28" xfId="0" applyNumberFormat="1" applyFont="1" applyFill="1" applyBorder="1" applyAlignment="1">
      <alignment/>
    </xf>
    <xf numFmtId="4" fontId="78" fillId="0" borderId="27" xfId="0" applyNumberFormat="1" applyFont="1" applyFill="1" applyBorder="1" applyAlignment="1">
      <alignment/>
    </xf>
    <xf numFmtId="4" fontId="78" fillId="0" borderId="53" xfId="0" applyNumberFormat="1" applyFont="1" applyFill="1" applyBorder="1" applyAlignment="1">
      <alignment/>
    </xf>
    <xf numFmtId="4" fontId="78" fillId="0" borderId="29" xfId="0" applyNumberFormat="1" applyFont="1" applyFill="1" applyBorder="1" applyAlignment="1">
      <alignment/>
    </xf>
    <xf numFmtId="4" fontId="78" fillId="0" borderId="30" xfId="0" applyNumberFormat="1" applyFont="1" applyFill="1" applyBorder="1" applyAlignment="1">
      <alignment/>
    </xf>
    <xf numFmtId="0" fontId="84" fillId="7" borderId="65" xfId="0" applyFont="1" applyFill="1" applyBorder="1" applyAlignment="1">
      <alignment horizontal="center" vertical="center"/>
    </xf>
    <xf numFmtId="0" fontId="84" fillId="7" borderId="72" xfId="0" applyFont="1" applyFill="1" applyBorder="1" applyAlignment="1">
      <alignment horizontal="center" vertical="center"/>
    </xf>
    <xf numFmtId="0" fontId="84" fillId="7" borderId="31" xfId="0" applyFont="1" applyFill="1" applyBorder="1" applyAlignment="1">
      <alignment horizontal="center" vertical="center" wrapText="1"/>
    </xf>
    <xf numFmtId="0" fontId="78" fillId="7" borderId="29" xfId="0" applyFont="1" applyFill="1" applyBorder="1" applyAlignment="1">
      <alignment horizontal="center" vertical="center" wrapText="1"/>
    </xf>
    <xf numFmtId="0" fontId="84" fillId="7" borderId="73" xfId="0" applyFont="1" applyFill="1" applyBorder="1" applyAlignment="1">
      <alignment horizontal="center" vertical="center" wrapText="1"/>
    </xf>
    <xf numFmtId="0" fontId="84" fillId="7" borderId="14" xfId="0" applyFont="1" applyFill="1" applyBorder="1" applyAlignment="1">
      <alignment horizontal="center" vertical="center"/>
    </xf>
    <xf numFmtId="0" fontId="84" fillId="7" borderId="15" xfId="0" applyFont="1" applyFill="1" applyBorder="1" applyAlignment="1">
      <alignment horizontal="center" vertical="center"/>
    </xf>
    <xf numFmtId="0" fontId="83" fillId="7" borderId="65" xfId="0" applyFont="1" applyFill="1" applyBorder="1" applyAlignment="1">
      <alignment horizontal="center" vertical="center"/>
    </xf>
    <xf numFmtId="0" fontId="83" fillId="7" borderId="74" xfId="0" applyFont="1" applyFill="1" applyBorder="1" applyAlignment="1">
      <alignment horizontal="center" vertical="center"/>
    </xf>
    <xf numFmtId="0" fontId="84" fillId="7" borderId="73" xfId="0" applyFont="1" applyFill="1" applyBorder="1" applyAlignment="1">
      <alignment horizontal="center" vertical="center"/>
    </xf>
    <xf numFmtId="3" fontId="13" fillId="0" borderId="28" xfId="48" applyNumberFormat="1" applyFont="1" applyFill="1" applyBorder="1" applyAlignment="1">
      <alignment vertical="center"/>
      <protection/>
    </xf>
    <xf numFmtId="3" fontId="13" fillId="0" borderId="27" xfId="48" applyNumberFormat="1" applyFont="1" applyFill="1" applyBorder="1" applyAlignment="1">
      <alignment vertical="center"/>
      <protection/>
    </xf>
    <xf numFmtId="3" fontId="13" fillId="0" borderId="53" xfId="48" applyNumberFormat="1" applyFont="1" applyFill="1" applyBorder="1" applyAlignment="1">
      <alignment vertical="center"/>
      <protection/>
    </xf>
    <xf numFmtId="0" fontId="78" fillId="7" borderId="29" xfId="0" applyFont="1" applyFill="1" applyBorder="1" applyAlignment="1">
      <alignment horizontal="center" vertical="center" wrapText="1"/>
    </xf>
    <xf numFmtId="0" fontId="83" fillId="7" borderId="19" xfId="0" applyFont="1" applyFill="1" applyBorder="1" applyAlignment="1">
      <alignment horizontal="center" vertical="center" wrapText="1"/>
    </xf>
    <xf numFmtId="164" fontId="11" fillId="33" borderId="41" xfId="0" applyNumberFormat="1" applyFont="1" applyFill="1" applyBorder="1" applyAlignment="1">
      <alignment horizontal="center" vertical="center"/>
    </xf>
    <xf numFmtId="164" fontId="13" fillId="33" borderId="37" xfId="0" applyNumberFormat="1" applyFont="1" applyFill="1" applyBorder="1" applyAlignment="1">
      <alignment horizontal="center" vertical="center"/>
    </xf>
    <xf numFmtId="164" fontId="11" fillId="33" borderId="37" xfId="0" applyNumberFormat="1" applyFont="1" applyFill="1" applyBorder="1" applyAlignment="1">
      <alignment horizontal="center" vertical="center"/>
    </xf>
    <xf numFmtId="164" fontId="13" fillId="33" borderId="38" xfId="0" applyNumberFormat="1" applyFont="1" applyFill="1" applyBorder="1" applyAlignment="1">
      <alignment horizontal="center" vertical="center"/>
    </xf>
    <xf numFmtId="0" fontId="82" fillId="7" borderId="19" xfId="0" applyFont="1" applyFill="1" applyBorder="1" applyAlignment="1">
      <alignment horizontal="center" vertical="center" wrapText="1"/>
    </xf>
    <xf numFmtId="164" fontId="12" fillId="33" borderId="37" xfId="0" applyNumberFormat="1" applyFont="1" applyFill="1" applyBorder="1" applyAlignment="1">
      <alignment horizontal="center" vertical="center"/>
    </xf>
    <xf numFmtId="164" fontId="12" fillId="33" borderId="38" xfId="0" applyNumberFormat="1" applyFont="1" applyFill="1" applyBorder="1" applyAlignment="1">
      <alignment horizontal="center" vertical="center"/>
    </xf>
    <xf numFmtId="0" fontId="84" fillId="7" borderId="19" xfId="0" applyFont="1" applyFill="1" applyBorder="1" applyAlignment="1">
      <alignment horizontal="center" vertical="center" wrapText="1"/>
    </xf>
    <xf numFmtId="3" fontId="11" fillId="0" borderId="40" xfId="48" applyNumberFormat="1" applyFont="1" applyFill="1" applyBorder="1" applyAlignment="1">
      <alignment vertical="center"/>
      <protection/>
    </xf>
    <xf numFmtId="3" fontId="11" fillId="0" borderId="41" xfId="48" applyNumberFormat="1" applyFont="1" applyFill="1" applyBorder="1" applyAlignment="1">
      <alignment vertical="center"/>
      <protection/>
    </xf>
    <xf numFmtId="3" fontId="13" fillId="0" borderId="37" xfId="48" applyNumberFormat="1" applyFont="1" applyFill="1" applyBorder="1" applyAlignment="1">
      <alignment vertical="center"/>
      <protection/>
    </xf>
    <xf numFmtId="3" fontId="11" fillId="0" borderId="28" xfId="48" applyNumberFormat="1" applyFont="1" applyFill="1" applyBorder="1" applyAlignment="1">
      <alignment vertical="center"/>
      <protection/>
    </xf>
    <xf numFmtId="3" fontId="11" fillId="0" borderId="37" xfId="48" applyNumberFormat="1" applyFont="1" applyFill="1" applyBorder="1" applyAlignment="1">
      <alignment vertical="center"/>
      <protection/>
    </xf>
    <xf numFmtId="3" fontId="12" fillId="0" borderId="28" xfId="48" applyNumberFormat="1" applyFont="1" applyFill="1" applyBorder="1" applyAlignment="1">
      <alignment vertical="center"/>
      <protection/>
    </xf>
    <xf numFmtId="3" fontId="12" fillId="0" borderId="37" xfId="48" applyNumberFormat="1" applyFont="1" applyFill="1" applyBorder="1" applyAlignment="1">
      <alignment vertical="center"/>
      <protection/>
    </xf>
    <xf numFmtId="0" fontId="84" fillId="19" borderId="67" xfId="0" applyFont="1" applyFill="1" applyBorder="1" applyAlignment="1">
      <alignment horizontal="center" vertical="center"/>
    </xf>
    <xf numFmtId="0" fontId="78" fillId="19" borderId="68" xfId="0" applyFont="1" applyFill="1" applyBorder="1" applyAlignment="1">
      <alignment horizontal="center" vertical="center"/>
    </xf>
    <xf numFmtId="0" fontId="78" fillId="19" borderId="29" xfId="0" applyFont="1" applyFill="1" applyBorder="1" applyAlignment="1">
      <alignment horizontal="center" vertical="center" wrapText="1"/>
    </xf>
    <xf numFmtId="0" fontId="78" fillId="19" borderId="54" xfId="0" applyFont="1" applyFill="1" applyBorder="1" applyAlignment="1">
      <alignment horizontal="center" vertical="center" wrapText="1"/>
    </xf>
    <xf numFmtId="0" fontId="78" fillId="19" borderId="38" xfId="0" applyFont="1" applyFill="1" applyBorder="1" applyAlignment="1">
      <alignment horizontal="center" vertical="center" wrapText="1"/>
    </xf>
    <xf numFmtId="0" fontId="78" fillId="19" borderId="29" xfId="0" applyFont="1" applyFill="1" applyBorder="1" applyAlignment="1">
      <alignment horizontal="center" vertical="center" wrapText="1"/>
    </xf>
    <xf numFmtId="0" fontId="78" fillId="19" borderId="54" xfId="0" applyFont="1" applyFill="1" applyBorder="1" applyAlignment="1">
      <alignment horizontal="center" vertical="center" wrapText="1"/>
    </xf>
    <xf numFmtId="0" fontId="78" fillId="19" borderId="38" xfId="0" applyFont="1" applyFill="1" applyBorder="1" applyAlignment="1">
      <alignment horizontal="center" vertical="center" wrapText="1"/>
    </xf>
    <xf numFmtId="3" fontId="82" fillId="19" borderId="17" xfId="48" applyNumberFormat="1" applyFont="1" applyFill="1" applyBorder="1" applyAlignment="1">
      <alignment horizontal="right" vertical="center"/>
      <protection/>
    </xf>
    <xf numFmtId="3" fontId="82" fillId="19" borderId="19" xfId="48" applyNumberFormat="1" applyFont="1" applyFill="1" applyBorder="1" applyAlignment="1">
      <alignment horizontal="right" vertical="center"/>
      <protection/>
    </xf>
    <xf numFmtId="3" fontId="13" fillId="0" borderId="58" xfId="48" applyNumberFormat="1" applyFont="1" applyFill="1" applyBorder="1" applyAlignment="1">
      <alignment vertical="center"/>
      <protection/>
    </xf>
    <xf numFmtId="3" fontId="13" fillId="0" borderId="54" xfId="48" applyNumberFormat="1" applyFont="1" applyFill="1" applyBorder="1" applyAlignment="1">
      <alignment vertical="center"/>
      <protection/>
    </xf>
    <xf numFmtId="3" fontId="13" fillId="0" borderId="52" xfId="48" applyNumberFormat="1" applyFont="1" applyFill="1" applyBorder="1" applyAlignment="1">
      <alignment vertical="center"/>
      <protection/>
    </xf>
    <xf numFmtId="3" fontId="12" fillId="7" borderId="54" xfId="48" applyNumberFormat="1" applyFont="1" applyFill="1" applyBorder="1" applyAlignment="1">
      <alignment vertical="center"/>
      <protection/>
    </xf>
    <xf numFmtId="0" fontId="84" fillId="7" borderId="16" xfId="0" applyFont="1" applyFill="1" applyBorder="1" applyAlignment="1">
      <alignment horizontal="center" vertical="center"/>
    </xf>
    <xf numFmtId="0" fontId="84" fillId="7" borderId="67" xfId="0" applyFont="1" applyFill="1" applyBorder="1" applyAlignment="1">
      <alignment horizontal="center" vertical="center" wrapText="1"/>
    </xf>
    <xf numFmtId="3" fontId="12" fillId="7" borderId="26" xfId="48" applyNumberFormat="1" applyFont="1" applyFill="1" applyBorder="1" applyAlignment="1">
      <alignment vertical="center"/>
      <protection/>
    </xf>
    <xf numFmtId="3" fontId="13" fillId="0" borderId="24" xfId="48" applyNumberFormat="1" applyFont="1" applyFill="1" applyBorder="1" applyAlignment="1">
      <alignment vertical="center"/>
      <protection/>
    </xf>
    <xf numFmtId="3" fontId="13" fillId="0" borderId="25" xfId="48" applyNumberFormat="1" applyFont="1" applyFill="1" applyBorder="1" applyAlignment="1">
      <alignment vertical="center"/>
      <protection/>
    </xf>
    <xf numFmtId="3" fontId="13" fillId="0" borderId="26" xfId="48" applyNumberFormat="1" applyFont="1" applyFill="1" applyBorder="1" applyAlignment="1">
      <alignment vertical="center"/>
      <protection/>
    </xf>
    <xf numFmtId="0" fontId="78" fillId="0" borderId="44" xfId="0" applyFont="1" applyBorder="1" applyAlignment="1">
      <alignment horizontal="left" indent="1"/>
    </xf>
    <xf numFmtId="3" fontId="83" fillId="0" borderId="14" xfId="0" applyNumberFormat="1" applyFont="1" applyBorder="1" applyAlignment="1">
      <alignment/>
    </xf>
    <xf numFmtId="3" fontId="85" fillId="0" borderId="62" xfId="0" applyNumberFormat="1" applyFont="1" applyBorder="1" applyAlignment="1">
      <alignment/>
    </xf>
    <xf numFmtId="0" fontId="83" fillId="13" borderId="49" xfId="0" applyFont="1" applyFill="1" applyBorder="1" applyAlignment="1">
      <alignment/>
    </xf>
    <xf numFmtId="0" fontId="83" fillId="13" borderId="50" xfId="0" applyFont="1" applyFill="1" applyBorder="1" applyAlignment="1">
      <alignment/>
    </xf>
    <xf numFmtId="0" fontId="83" fillId="13" borderId="51" xfId="0" applyFont="1" applyFill="1" applyBorder="1" applyAlignment="1">
      <alignment/>
    </xf>
    <xf numFmtId="3" fontId="85" fillId="0" borderId="12" xfId="0" applyNumberFormat="1" applyFont="1" applyBorder="1" applyAlignment="1">
      <alignment/>
    </xf>
    <xf numFmtId="3" fontId="85" fillId="0" borderId="50" xfId="0" applyNumberFormat="1" applyFont="1" applyBorder="1" applyAlignment="1">
      <alignment/>
    </xf>
    <xf numFmtId="3" fontId="85" fillId="0" borderId="28" xfId="0" applyNumberFormat="1" applyFont="1" applyBorder="1" applyAlignment="1">
      <alignment/>
    </xf>
    <xf numFmtId="3" fontId="85" fillId="0" borderId="40" xfId="0" applyNumberFormat="1" applyFont="1" applyBorder="1" applyAlignment="1">
      <alignment/>
    </xf>
    <xf numFmtId="3" fontId="85" fillId="0" borderId="53" xfId="0" applyNumberFormat="1" applyFont="1" applyBorder="1" applyAlignment="1">
      <alignment/>
    </xf>
    <xf numFmtId="4" fontId="83" fillId="13" borderId="28" xfId="0" applyNumberFormat="1" applyFont="1" applyFill="1" applyBorder="1" applyAlignment="1">
      <alignment/>
    </xf>
    <xf numFmtId="4" fontId="83" fillId="13" borderId="39" xfId="0" applyNumberFormat="1" applyFont="1" applyFill="1" applyBorder="1" applyAlignment="1">
      <alignment/>
    </xf>
    <xf numFmtId="0" fontId="83" fillId="13" borderId="28" xfId="0" applyFont="1" applyFill="1" applyBorder="1" applyAlignment="1">
      <alignment/>
    </xf>
    <xf numFmtId="4" fontId="83" fillId="13" borderId="27" xfId="0" applyNumberFormat="1" applyFont="1" applyFill="1" applyBorder="1" applyAlignment="1">
      <alignment/>
    </xf>
    <xf numFmtId="4" fontId="83" fillId="13" borderId="37" xfId="0" applyNumberFormat="1" applyFont="1" applyFill="1" applyBorder="1" applyAlignment="1">
      <alignment/>
    </xf>
    <xf numFmtId="4" fontId="85" fillId="13" borderId="37" xfId="0" applyNumberFormat="1" applyFont="1" applyFill="1" applyBorder="1" applyAlignment="1">
      <alignment/>
    </xf>
    <xf numFmtId="4" fontId="83" fillId="19" borderId="19" xfId="0" applyNumberFormat="1" applyFont="1" applyFill="1" applyBorder="1" applyAlignment="1">
      <alignment/>
    </xf>
    <xf numFmtId="0" fontId="83" fillId="35" borderId="13" xfId="0" applyFont="1" applyFill="1" applyBorder="1" applyAlignment="1">
      <alignment/>
    </xf>
    <xf numFmtId="4" fontId="83" fillId="35" borderId="14" xfId="0" applyNumberFormat="1" applyFont="1" applyFill="1" applyBorder="1" applyAlignment="1">
      <alignment/>
    </xf>
    <xf numFmtId="4" fontId="83" fillId="35" borderId="19" xfId="0" applyNumberFormat="1" applyFont="1" applyFill="1" applyBorder="1" applyAlignment="1">
      <alignment/>
    </xf>
    <xf numFmtId="4" fontId="83" fillId="35" borderId="15" xfId="0" applyNumberFormat="1" applyFont="1" applyFill="1" applyBorder="1" applyAlignment="1">
      <alignment/>
    </xf>
    <xf numFmtId="0" fontId="85" fillId="0" borderId="28" xfId="0" applyFont="1" applyBorder="1" applyAlignment="1">
      <alignment/>
    </xf>
    <xf numFmtId="0" fontId="85" fillId="0" borderId="20" xfId="0" applyFont="1" applyBorder="1" applyAlignment="1">
      <alignment/>
    </xf>
    <xf numFmtId="3" fontId="85" fillId="0" borderId="41" xfId="0" applyNumberFormat="1" applyFont="1" applyBorder="1" applyAlignment="1">
      <alignment/>
    </xf>
    <xf numFmtId="0" fontId="84" fillId="34" borderId="16" xfId="0" applyFont="1" applyFill="1" applyBorder="1" applyAlignment="1">
      <alignment/>
    </xf>
    <xf numFmtId="4" fontId="83" fillId="34" borderId="13" xfId="0" applyNumberFormat="1" applyFont="1" applyFill="1" applyBorder="1" applyAlignment="1">
      <alignment/>
    </xf>
    <xf numFmtId="4" fontId="83" fillId="34" borderId="15" xfId="0" applyNumberFormat="1" applyFont="1" applyFill="1" applyBorder="1" applyAlignment="1">
      <alignment/>
    </xf>
    <xf numFmtId="4" fontId="83" fillId="0" borderId="0" xfId="0" applyNumberFormat="1" applyFont="1" applyFill="1" applyBorder="1" applyAlignment="1">
      <alignment/>
    </xf>
    <xf numFmtId="0" fontId="83" fillId="0" borderId="13" xfId="0" applyFont="1" applyFill="1" applyBorder="1" applyAlignment="1">
      <alignment/>
    </xf>
    <xf numFmtId="0" fontId="83" fillId="34" borderId="13" xfId="0" applyFont="1" applyFill="1" applyBorder="1" applyAlignment="1">
      <alignment/>
    </xf>
    <xf numFmtId="3" fontId="85" fillId="0" borderId="25" xfId="0" applyNumberFormat="1" applyFont="1" applyBorder="1" applyAlignment="1">
      <alignment/>
    </xf>
    <xf numFmtId="3" fontId="85" fillId="0" borderId="75" xfId="0" applyNumberFormat="1" applyFont="1" applyBorder="1" applyAlignment="1">
      <alignment/>
    </xf>
    <xf numFmtId="3" fontId="83" fillId="0" borderId="16" xfId="0" applyNumberFormat="1" applyFont="1" applyBorder="1" applyAlignment="1">
      <alignment/>
    </xf>
    <xf numFmtId="3" fontId="85" fillId="0" borderId="24" xfId="0" applyNumberFormat="1" applyFont="1" applyBorder="1" applyAlignment="1">
      <alignment/>
    </xf>
    <xf numFmtId="4" fontId="85" fillId="13" borderId="76" xfId="0" applyNumberFormat="1" applyFont="1" applyFill="1" applyBorder="1" applyAlignment="1">
      <alignment/>
    </xf>
    <xf numFmtId="4" fontId="85" fillId="13" borderId="59" xfId="0" applyNumberFormat="1" applyFont="1" applyFill="1" applyBorder="1" applyAlignment="1">
      <alignment/>
    </xf>
    <xf numFmtId="4" fontId="85" fillId="19" borderId="15" xfId="0" applyNumberFormat="1" applyFont="1" applyFill="1" applyBorder="1" applyAlignment="1">
      <alignment/>
    </xf>
    <xf numFmtId="4" fontId="83" fillId="13" borderId="67" xfId="0" applyNumberFormat="1" applyFont="1" applyFill="1" applyBorder="1" applyAlignment="1">
      <alignment/>
    </xf>
    <xf numFmtId="4" fontId="83" fillId="13" borderId="25" xfId="0" applyNumberFormat="1" applyFont="1" applyFill="1" applyBorder="1" applyAlignment="1">
      <alignment/>
    </xf>
    <xf numFmtId="4" fontId="83" fillId="13" borderId="26" xfId="0" applyNumberFormat="1" applyFont="1" applyFill="1" applyBorder="1" applyAlignment="1">
      <alignment/>
    </xf>
    <xf numFmtId="4" fontId="83" fillId="19" borderId="16" xfId="0" applyNumberFormat="1" applyFont="1" applyFill="1" applyBorder="1" applyAlignment="1">
      <alignment/>
    </xf>
    <xf numFmtId="4" fontId="83" fillId="35" borderId="16" xfId="0" applyNumberFormat="1" applyFont="1" applyFill="1" applyBorder="1" applyAlignment="1">
      <alignment/>
    </xf>
    <xf numFmtId="3" fontId="83" fillId="0" borderId="36" xfId="0" applyNumberFormat="1" applyFont="1" applyFill="1" applyBorder="1" applyAlignment="1">
      <alignment/>
    </xf>
    <xf numFmtId="3" fontId="85" fillId="0" borderId="15" xfId="0" applyNumberFormat="1" applyFont="1" applyFill="1" applyBorder="1" applyAlignment="1">
      <alignment/>
    </xf>
    <xf numFmtId="3" fontId="83" fillId="0" borderId="16" xfId="0" applyNumberFormat="1" applyFont="1" applyFill="1" applyBorder="1" applyAlignment="1">
      <alignment/>
    </xf>
    <xf numFmtId="0" fontId="83" fillId="0" borderId="77" xfId="0" applyFont="1" applyFill="1" applyBorder="1" applyAlignment="1">
      <alignment/>
    </xf>
    <xf numFmtId="4" fontId="83" fillId="13" borderId="35" xfId="0" applyNumberFormat="1" applyFont="1" applyFill="1" applyBorder="1" applyAlignment="1">
      <alignment/>
    </xf>
    <xf numFmtId="4" fontId="83" fillId="13" borderId="33" xfId="0" applyNumberFormat="1" applyFont="1" applyFill="1" applyBorder="1" applyAlignment="1">
      <alignment/>
    </xf>
    <xf numFmtId="4" fontId="83" fillId="13" borderId="34" xfId="0" applyNumberFormat="1" applyFont="1" applyFill="1" applyBorder="1" applyAlignment="1">
      <alignment/>
    </xf>
    <xf numFmtId="4" fontId="83" fillId="19" borderId="36" xfId="0" applyNumberFormat="1" applyFont="1" applyFill="1" applyBorder="1" applyAlignment="1">
      <alignment/>
    </xf>
    <xf numFmtId="4" fontId="83" fillId="35" borderId="36" xfId="0" applyNumberFormat="1" applyFont="1" applyFill="1" applyBorder="1" applyAlignment="1">
      <alignment/>
    </xf>
    <xf numFmtId="165" fontId="78" fillId="0" borderId="37" xfId="0" applyNumberFormat="1" applyFont="1" applyBorder="1" applyAlignment="1">
      <alignment/>
    </xf>
    <xf numFmtId="165" fontId="78" fillId="0" borderId="47" xfId="0" applyNumberFormat="1" applyFont="1" applyBorder="1" applyAlignment="1">
      <alignment/>
    </xf>
    <xf numFmtId="165" fontId="84" fillId="0" borderId="19" xfId="0" applyNumberFormat="1" applyFont="1" applyBorder="1" applyAlignment="1">
      <alignment/>
    </xf>
    <xf numFmtId="165" fontId="78" fillId="0" borderId="41" xfId="0" applyNumberFormat="1" applyFont="1" applyBorder="1" applyAlignment="1">
      <alignment/>
    </xf>
    <xf numFmtId="165" fontId="78" fillId="0" borderId="40" xfId="0" applyNumberFormat="1" applyFont="1" applyBorder="1" applyAlignment="1">
      <alignment/>
    </xf>
    <xf numFmtId="165" fontId="78" fillId="0" borderId="43" xfId="0" applyNumberFormat="1" applyFont="1" applyBorder="1" applyAlignment="1">
      <alignment/>
    </xf>
    <xf numFmtId="165" fontId="78" fillId="0" borderId="67" xfId="0" applyNumberFormat="1" applyFont="1" applyBorder="1" applyAlignment="1">
      <alignment/>
    </xf>
    <xf numFmtId="165" fontId="78" fillId="0" borderId="58" xfId="0" applyNumberFormat="1" applyFont="1" applyBorder="1" applyAlignment="1">
      <alignment/>
    </xf>
    <xf numFmtId="165" fontId="78" fillId="0" borderId="28" xfId="0" applyNumberFormat="1" applyFont="1" applyBorder="1" applyAlignment="1">
      <alignment/>
    </xf>
    <xf numFmtId="165" fontId="78" fillId="0" borderId="33" xfId="0" applyNumberFormat="1" applyFont="1" applyBorder="1" applyAlignment="1">
      <alignment/>
    </xf>
    <xf numFmtId="165" fontId="78" fillId="0" borderId="25" xfId="0" applyNumberFormat="1" applyFont="1" applyBorder="1" applyAlignment="1">
      <alignment/>
    </xf>
    <xf numFmtId="165" fontId="78" fillId="0" borderId="59" xfId="0" applyNumberFormat="1" applyFont="1" applyBorder="1" applyAlignment="1">
      <alignment/>
    </xf>
    <xf numFmtId="165" fontId="78" fillId="0" borderId="53" xfId="0" applyNumberFormat="1" applyFont="1" applyBorder="1" applyAlignment="1">
      <alignment/>
    </xf>
    <xf numFmtId="165" fontId="78" fillId="0" borderId="78" xfId="0" applyNumberFormat="1" applyFont="1" applyBorder="1" applyAlignment="1">
      <alignment/>
    </xf>
    <xf numFmtId="165" fontId="78" fillId="0" borderId="75" xfId="0" applyNumberFormat="1" applyFont="1" applyBorder="1" applyAlignment="1">
      <alignment/>
    </xf>
    <xf numFmtId="165" fontId="78" fillId="0" borderId="79" xfId="0" applyNumberFormat="1" applyFont="1" applyBorder="1" applyAlignment="1">
      <alignment/>
    </xf>
    <xf numFmtId="165" fontId="84" fillId="0" borderId="17" xfId="0" applyNumberFormat="1" applyFont="1" applyBorder="1" applyAlignment="1">
      <alignment/>
    </xf>
    <xf numFmtId="165" fontId="84" fillId="0" borderId="13" xfId="0" applyNumberFormat="1" applyFont="1" applyBorder="1" applyAlignment="1">
      <alignment/>
    </xf>
    <xf numFmtId="165" fontId="84" fillId="0" borderId="16" xfId="0" applyNumberFormat="1" applyFont="1" applyBorder="1" applyAlignment="1">
      <alignment/>
    </xf>
    <xf numFmtId="165" fontId="84" fillId="0" borderId="15" xfId="0" applyNumberFormat="1" applyFont="1" applyBorder="1" applyAlignment="1">
      <alignment/>
    </xf>
    <xf numFmtId="165" fontId="78" fillId="0" borderId="24" xfId="0" applyNumberFormat="1" applyFont="1" applyBorder="1" applyAlignment="1">
      <alignment/>
    </xf>
    <xf numFmtId="165" fontId="78" fillId="0" borderId="29" xfId="0" applyNumberFormat="1" applyFont="1" applyBorder="1" applyAlignment="1">
      <alignment/>
    </xf>
    <xf numFmtId="165" fontId="78" fillId="0" borderId="62" xfId="0" applyNumberFormat="1" applyFont="1" applyBorder="1" applyAlignment="1">
      <alignment/>
    </xf>
    <xf numFmtId="0" fontId="85" fillId="0" borderId="80" xfId="0" applyFont="1" applyBorder="1" applyAlignment="1">
      <alignment/>
    </xf>
    <xf numFmtId="0" fontId="85" fillId="0" borderId="23" xfId="0" applyFont="1" applyBorder="1" applyAlignment="1">
      <alignment/>
    </xf>
    <xf numFmtId="4" fontId="78" fillId="0" borderId="76" xfId="0" applyNumberFormat="1" applyFont="1" applyBorder="1" applyAlignment="1">
      <alignment/>
    </xf>
    <xf numFmtId="4" fontId="78" fillId="0" borderId="59" xfId="0" applyNumberFormat="1" applyFont="1" applyBorder="1" applyAlignment="1">
      <alignment/>
    </xf>
    <xf numFmtId="4" fontId="78" fillId="0" borderId="60" xfId="0" applyNumberFormat="1" applyFont="1" applyBorder="1" applyAlignment="1">
      <alignment/>
    </xf>
    <xf numFmtId="0" fontId="85" fillId="0" borderId="67" xfId="0" applyFont="1" applyBorder="1" applyAlignment="1">
      <alignment/>
    </xf>
    <xf numFmtId="0" fontId="85" fillId="0" borderId="25" xfId="0" applyFont="1" applyBorder="1" applyAlignment="1">
      <alignment/>
    </xf>
    <xf numFmtId="0" fontId="85" fillId="0" borderId="26" xfId="0" applyFont="1" applyBorder="1" applyAlignment="1">
      <alignment/>
    </xf>
    <xf numFmtId="0" fontId="83" fillId="0" borderId="16" xfId="0" applyFont="1" applyFill="1" applyBorder="1" applyAlignment="1">
      <alignment/>
    </xf>
    <xf numFmtId="0" fontId="83" fillId="13" borderId="80" xfId="0" applyFont="1" applyFill="1" applyBorder="1" applyAlignment="1">
      <alignment/>
    </xf>
    <xf numFmtId="0" fontId="83" fillId="13" borderId="21" xfId="0" applyFont="1" applyFill="1" applyBorder="1" applyAlignment="1">
      <alignment/>
    </xf>
    <xf numFmtId="0" fontId="83" fillId="13" borderId="23" xfId="0" applyFont="1" applyFill="1" applyBorder="1" applyAlignment="1">
      <alignment/>
    </xf>
    <xf numFmtId="0" fontId="83" fillId="19" borderId="13" xfId="0" applyFont="1" applyFill="1" applyBorder="1" applyAlignment="1">
      <alignment/>
    </xf>
    <xf numFmtId="4" fontId="83" fillId="13" borderId="49" xfId="0" applyNumberFormat="1" applyFont="1" applyFill="1" applyBorder="1" applyAlignment="1">
      <alignment/>
    </xf>
    <xf numFmtId="4" fontId="83" fillId="13" borderId="50" xfId="0" applyNumberFormat="1" applyFont="1" applyFill="1" applyBorder="1" applyAlignment="1">
      <alignment/>
    </xf>
    <xf numFmtId="4" fontId="83" fillId="13" borderId="51" xfId="0" applyNumberFormat="1" applyFont="1" applyFill="1" applyBorder="1" applyAlignment="1">
      <alignment/>
    </xf>
    <xf numFmtId="4" fontId="83" fillId="19" borderId="14" xfId="0" applyNumberFormat="1" applyFont="1" applyFill="1" applyBorder="1" applyAlignment="1">
      <alignment/>
    </xf>
    <xf numFmtId="0" fontId="83" fillId="13" borderId="67" xfId="0" applyFont="1" applyFill="1" applyBorder="1" applyAlignment="1">
      <alignment/>
    </xf>
    <xf numFmtId="0" fontId="83" fillId="13" borderId="25" xfId="0" applyFont="1" applyFill="1" applyBorder="1" applyAlignment="1">
      <alignment/>
    </xf>
    <xf numFmtId="0" fontId="83" fillId="13" borderId="26" xfId="0" applyFont="1" applyFill="1" applyBorder="1" applyAlignment="1">
      <alignment/>
    </xf>
    <xf numFmtId="0" fontId="83" fillId="19" borderId="16" xfId="0" applyFont="1" applyFill="1" applyBorder="1" applyAlignment="1">
      <alignment/>
    </xf>
    <xf numFmtId="0" fontId="83" fillId="35" borderId="16" xfId="0" applyFont="1" applyFill="1" applyBorder="1" applyAlignment="1">
      <alignment/>
    </xf>
    <xf numFmtId="3" fontId="83" fillId="34" borderId="14" xfId="0" applyNumberFormat="1" applyFont="1" applyFill="1" applyBorder="1" applyAlignment="1">
      <alignment/>
    </xf>
    <xf numFmtId="3" fontId="83" fillId="34" borderId="19" xfId="0" applyNumberFormat="1" applyFont="1" applyFill="1" applyBorder="1" applyAlignment="1">
      <alignment/>
    </xf>
    <xf numFmtId="3" fontId="83" fillId="34" borderId="16" xfId="0" applyNumberFormat="1" applyFont="1" applyFill="1" applyBorder="1" applyAlignment="1">
      <alignment/>
    </xf>
    <xf numFmtId="3" fontId="83" fillId="34" borderId="15" xfId="0" applyNumberFormat="1" applyFont="1" applyFill="1" applyBorder="1" applyAlignment="1">
      <alignment/>
    </xf>
    <xf numFmtId="3" fontId="11" fillId="0" borderId="20" xfId="48" applyNumberFormat="1" applyFont="1" applyFill="1" applyBorder="1" applyAlignment="1">
      <alignment vertical="center"/>
      <protection/>
    </xf>
    <xf numFmtId="3" fontId="11" fillId="0" borderId="52" xfId="48" applyNumberFormat="1" applyFont="1" applyFill="1" applyBorder="1" applyAlignment="1">
      <alignment vertical="center"/>
      <protection/>
    </xf>
    <xf numFmtId="3" fontId="11" fillId="0" borderId="32" xfId="48" applyNumberFormat="1" applyFont="1" applyFill="1" applyBorder="1" applyAlignment="1">
      <alignment vertical="center"/>
      <protection/>
    </xf>
    <xf numFmtId="0" fontId="0" fillId="7" borderId="65" xfId="0" applyFill="1" applyBorder="1" applyAlignment="1">
      <alignment horizontal="center" vertical="center"/>
    </xf>
    <xf numFmtId="0" fontId="78" fillId="7" borderId="34" xfId="0" applyFont="1" applyFill="1" applyBorder="1" applyAlignment="1">
      <alignment horizontal="center" vertical="center" wrapText="1"/>
    </xf>
    <xf numFmtId="0" fontId="78" fillId="7" borderId="54" xfId="0" applyFont="1" applyFill="1" applyBorder="1" applyAlignment="1">
      <alignment horizontal="center" vertical="center" wrapText="1"/>
    </xf>
    <xf numFmtId="0" fontId="78" fillId="7" borderId="38" xfId="0" applyFont="1" applyFill="1" applyBorder="1" applyAlignment="1">
      <alignment horizontal="center" vertical="center" wrapText="1"/>
    </xf>
    <xf numFmtId="3" fontId="12" fillId="19" borderId="28" xfId="48" applyNumberFormat="1" applyFont="1" applyFill="1" applyBorder="1" applyAlignment="1">
      <alignment vertical="center"/>
      <protection/>
    </xf>
    <xf numFmtId="3" fontId="12" fillId="19" borderId="55" xfId="48" applyNumberFormat="1" applyFont="1" applyFill="1" applyBorder="1" applyAlignment="1">
      <alignment vertical="center"/>
      <protection/>
    </xf>
    <xf numFmtId="3" fontId="12" fillId="19" borderId="37" xfId="48" applyNumberFormat="1" applyFont="1" applyFill="1" applyBorder="1" applyAlignment="1">
      <alignment vertical="center"/>
      <protection/>
    </xf>
    <xf numFmtId="3" fontId="12" fillId="19" borderId="28" xfId="48" applyNumberFormat="1" applyFont="1" applyFill="1" applyBorder="1" applyAlignment="1">
      <alignment vertical="center"/>
      <protection/>
    </xf>
    <xf numFmtId="3" fontId="12" fillId="19" borderId="37" xfId="48" applyNumberFormat="1" applyFont="1" applyFill="1" applyBorder="1" applyAlignment="1">
      <alignment vertical="center"/>
      <protection/>
    </xf>
    <xf numFmtId="3" fontId="12" fillId="19" borderId="27" xfId="48" applyNumberFormat="1" applyFont="1" applyFill="1" applyBorder="1" applyAlignment="1">
      <alignment vertical="center"/>
      <protection/>
    </xf>
    <xf numFmtId="0" fontId="84" fillId="19" borderId="21" xfId="0" applyFont="1" applyFill="1" applyBorder="1" applyAlignment="1">
      <alignment horizontal="left"/>
    </xf>
    <xf numFmtId="0" fontId="84" fillId="19" borderId="80" xfId="0" applyFont="1" applyFill="1" applyBorder="1" applyAlignment="1">
      <alignment horizontal="left"/>
    </xf>
    <xf numFmtId="3" fontId="12" fillId="19" borderId="31" xfId="48" applyNumberFormat="1" applyFont="1" applyFill="1" applyBorder="1" applyAlignment="1">
      <alignment vertical="center"/>
      <protection/>
    </xf>
    <xf numFmtId="3" fontId="12" fillId="19" borderId="73" xfId="48" applyNumberFormat="1" applyFont="1" applyFill="1" applyBorder="1" applyAlignment="1">
      <alignment vertical="center"/>
      <protection/>
    </xf>
    <xf numFmtId="3" fontId="12" fillId="19" borderId="39" xfId="48" applyNumberFormat="1" applyFont="1" applyFill="1" applyBorder="1" applyAlignment="1">
      <alignment vertical="center"/>
      <protection/>
    </xf>
    <xf numFmtId="3" fontId="12" fillId="19" borderId="32" xfId="48" applyNumberFormat="1" applyFont="1" applyFill="1" applyBorder="1" applyAlignment="1">
      <alignment vertical="center"/>
      <protection/>
    </xf>
    <xf numFmtId="0" fontId="83" fillId="7" borderId="65" xfId="0" applyFont="1" applyFill="1" applyBorder="1" applyAlignment="1">
      <alignment horizontal="center" vertical="center"/>
    </xf>
    <xf numFmtId="0" fontId="83" fillId="7" borderId="74" xfId="0" applyFont="1" applyFill="1" applyBorder="1" applyAlignment="1">
      <alignment horizontal="center" vertical="center"/>
    </xf>
    <xf numFmtId="3" fontId="11" fillId="11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center" vertical="center"/>
    </xf>
    <xf numFmtId="3" fontId="84" fillId="7" borderId="15" xfId="0" applyNumberFormat="1" applyFont="1" applyFill="1" applyBorder="1" applyAlignment="1">
      <alignment horizontal="right" vertical="center" wrapText="1"/>
    </xf>
    <xf numFmtId="3" fontId="11" fillId="11" borderId="25" xfId="48" applyNumberFormat="1" applyFont="1" applyFill="1" applyBorder="1" applyAlignment="1">
      <alignment vertical="center"/>
      <protection/>
    </xf>
    <xf numFmtId="3" fontId="82" fillId="7" borderId="16" xfId="0" applyNumberFormat="1" applyFont="1" applyFill="1" applyBorder="1" applyAlignment="1">
      <alignment horizontal="right" vertical="center" wrapText="1"/>
    </xf>
    <xf numFmtId="3" fontId="11" fillId="11" borderId="24" xfId="0" applyNumberFormat="1" applyFont="1" applyFill="1" applyBorder="1" applyAlignment="1">
      <alignment horizontal="right" vertical="center"/>
    </xf>
    <xf numFmtId="3" fontId="12" fillId="11" borderId="25" xfId="48" applyNumberFormat="1" applyFont="1" applyFill="1" applyBorder="1" applyAlignment="1">
      <alignment vertical="center"/>
      <protection/>
    </xf>
    <xf numFmtId="3" fontId="12" fillId="0" borderId="25" xfId="48" applyNumberFormat="1" applyFont="1" applyFill="1" applyBorder="1" applyAlignment="1">
      <alignment vertical="center"/>
      <protection/>
    </xf>
    <xf numFmtId="3" fontId="13" fillId="33" borderId="26" xfId="0" applyNumberFormat="1" applyFont="1" applyFill="1" applyBorder="1" applyAlignment="1">
      <alignment horizontal="center" vertical="center"/>
    </xf>
    <xf numFmtId="3" fontId="84" fillId="7" borderId="16" xfId="0" applyNumberFormat="1" applyFont="1" applyFill="1" applyBorder="1" applyAlignment="1">
      <alignment horizontal="right" vertical="center" wrapText="1"/>
    </xf>
    <xf numFmtId="3" fontId="83" fillId="19" borderId="17" xfId="50" applyNumberFormat="1" applyFont="1" applyFill="1" applyBorder="1" applyAlignment="1">
      <alignment horizontal="right" vertical="center"/>
    </xf>
    <xf numFmtId="3" fontId="83" fillId="19" borderId="16" xfId="50" applyNumberFormat="1" applyFont="1" applyFill="1" applyBorder="1" applyAlignment="1">
      <alignment horizontal="right" vertical="center"/>
    </xf>
    <xf numFmtId="3" fontId="83" fillId="19" borderId="57" xfId="50" applyNumberFormat="1" applyFont="1" applyFill="1" applyBorder="1" applyAlignment="1">
      <alignment horizontal="right" vertical="center"/>
    </xf>
    <xf numFmtId="3" fontId="83" fillId="19" borderId="68" xfId="50" applyNumberFormat="1" applyFont="1" applyFill="1" applyBorder="1" applyAlignment="1">
      <alignment horizontal="right" vertical="center"/>
    </xf>
    <xf numFmtId="3" fontId="13" fillId="0" borderId="71" xfId="50" applyNumberFormat="1" applyFont="1" applyFill="1" applyBorder="1" applyAlignment="1">
      <alignment vertical="center"/>
    </xf>
    <xf numFmtId="3" fontId="11" fillId="11" borderId="28" xfId="50" applyNumberFormat="1" applyFont="1" applyFill="1" applyBorder="1" applyAlignment="1">
      <alignment vertical="center"/>
    </xf>
    <xf numFmtId="0" fontId="78" fillId="0" borderId="20" xfId="0" applyFont="1" applyFill="1" applyBorder="1" applyAlignment="1">
      <alignment/>
    </xf>
    <xf numFmtId="0" fontId="84" fillId="34" borderId="22" xfId="0" applyFont="1" applyFill="1" applyBorder="1" applyAlignment="1">
      <alignment horizontal="center"/>
    </xf>
    <xf numFmtId="4" fontId="84" fillId="34" borderId="53" xfId="0" applyNumberFormat="1" applyFont="1" applyFill="1" applyBorder="1" applyAlignment="1">
      <alignment/>
    </xf>
    <xf numFmtId="0" fontId="82" fillId="7" borderId="14" xfId="0" applyFont="1" applyFill="1" applyBorder="1" applyAlignment="1">
      <alignment vertical="center"/>
    </xf>
    <xf numFmtId="0" fontId="83" fillId="7" borderId="13" xfId="0" applyFont="1" applyFill="1" applyBorder="1" applyAlignment="1">
      <alignment horizontal="center"/>
    </xf>
    <xf numFmtId="0" fontId="78" fillId="0" borderId="21" xfId="0" applyFont="1" applyFill="1" applyBorder="1" applyAlignment="1">
      <alignment/>
    </xf>
    <xf numFmtId="0" fontId="84" fillId="0" borderId="13" xfId="0" applyFont="1" applyFill="1" applyBorder="1" applyAlignment="1">
      <alignment horizontal="left"/>
    </xf>
    <xf numFmtId="0" fontId="84" fillId="0" borderId="20" xfId="0" applyFont="1" applyFill="1" applyBorder="1" applyAlignment="1">
      <alignment/>
    </xf>
    <xf numFmtId="0" fontId="78" fillId="0" borderId="21" xfId="0" applyFont="1" applyFill="1" applyBorder="1" applyAlignment="1">
      <alignment horizontal="left" indent="3"/>
    </xf>
    <xf numFmtId="0" fontId="78" fillId="0" borderId="21" xfId="0" applyFont="1" applyFill="1" applyBorder="1" applyAlignment="1">
      <alignment horizontal="left" indent="6"/>
    </xf>
    <xf numFmtId="0" fontId="84" fillId="0" borderId="21" xfId="0" applyFont="1" applyFill="1" applyBorder="1" applyAlignment="1">
      <alignment/>
    </xf>
    <xf numFmtId="0" fontId="78" fillId="0" borderId="21" xfId="0" applyFont="1" applyFill="1" applyBorder="1" applyAlignment="1">
      <alignment horizontal="left"/>
    </xf>
    <xf numFmtId="0" fontId="78" fillId="0" borderId="21" xfId="0" applyFont="1" applyFill="1" applyBorder="1" applyAlignment="1">
      <alignment/>
    </xf>
    <xf numFmtId="0" fontId="78" fillId="0" borderId="23" xfId="0" applyFont="1" applyFill="1" applyBorder="1" applyAlignment="1">
      <alignment/>
    </xf>
    <xf numFmtId="4" fontId="78" fillId="0" borderId="37" xfId="0" applyNumberFormat="1" applyFont="1" applyFill="1" applyBorder="1" applyAlignment="1">
      <alignment/>
    </xf>
    <xf numFmtId="0" fontId="84" fillId="0" borderId="21" xfId="0" applyFont="1" applyFill="1" applyBorder="1" applyAlignment="1">
      <alignment horizontal="left"/>
    </xf>
    <xf numFmtId="0" fontId="84" fillId="36" borderId="21" xfId="0" applyFont="1" applyFill="1" applyBorder="1" applyAlignment="1">
      <alignment horizontal="left"/>
    </xf>
    <xf numFmtId="4" fontId="78" fillId="36" borderId="27" xfId="0" applyNumberFormat="1" applyFont="1" applyFill="1" applyBorder="1" applyAlignment="1">
      <alignment/>
    </xf>
    <xf numFmtId="4" fontId="78" fillId="36" borderId="37" xfId="0" applyNumberFormat="1" applyFont="1" applyFill="1" applyBorder="1" applyAlignment="1">
      <alignment/>
    </xf>
    <xf numFmtId="4" fontId="78" fillId="0" borderId="38" xfId="0" applyNumberFormat="1" applyFont="1" applyFill="1" applyBorder="1" applyAlignment="1">
      <alignment/>
    </xf>
    <xf numFmtId="0" fontId="84" fillId="0" borderId="23" xfId="0" applyFont="1" applyFill="1" applyBorder="1" applyAlignment="1">
      <alignment horizontal="left"/>
    </xf>
    <xf numFmtId="4" fontId="78" fillId="0" borderId="55" xfId="0" applyNumberFormat="1" applyFont="1" applyFill="1" applyBorder="1" applyAlignment="1">
      <alignment/>
    </xf>
    <xf numFmtId="4" fontId="78" fillId="0" borderId="54" xfId="0" applyNumberFormat="1" applyFont="1" applyFill="1" applyBorder="1" applyAlignment="1">
      <alignment/>
    </xf>
    <xf numFmtId="0" fontId="78" fillId="0" borderId="25" xfId="0" applyFont="1" applyFill="1" applyBorder="1" applyAlignment="1">
      <alignment horizontal="right"/>
    </xf>
    <xf numFmtId="0" fontId="84" fillId="0" borderId="22" xfId="0" applyFont="1" applyFill="1" applyBorder="1" applyAlignment="1">
      <alignment horizontal="left"/>
    </xf>
    <xf numFmtId="0" fontId="78" fillId="0" borderId="75" xfId="0" applyFont="1" applyFill="1" applyBorder="1" applyAlignment="1">
      <alignment horizontal="left" indent="2"/>
    </xf>
    <xf numFmtId="4" fontId="78" fillId="0" borderId="71" xfId="0" applyNumberFormat="1" applyFont="1" applyFill="1" applyBorder="1" applyAlignment="1">
      <alignment/>
    </xf>
    <xf numFmtId="0" fontId="84" fillId="7" borderId="56" xfId="0" applyFont="1" applyFill="1" applyBorder="1" applyAlignment="1">
      <alignment horizontal="center" vertical="center"/>
    </xf>
    <xf numFmtId="4" fontId="78" fillId="0" borderId="52" xfId="0" applyNumberFormat="1" applyFont="1" applyFill="1" applyBorder="1" applyAlignment="1">
      <alignment/>
    </xf>
    <xf numFmtId="4" fontId="78" fillId="36" borderId="55" xfId="0" applyNumberFormat="1" applyFont="1" applyFill="1" applyBorder="1" applyAlignment="1">
      <alignment/>
    </xf>
    <xf numFmtId="0" fontId="78" fillId="0" borderId="24" xfId="0" applyFont="1" applyFill="1" applyBorder="1" applyAlignment="1">
      <alignment horizontal="right"/>
    </xf>
    <xf numFmtId="0" fontId="78" fillId="0" borderId="25" xfId="0" applyFont="1" applyFill="1" applyBorder="1" applyAlignment="1">
      <alignment horizontal="left" indent="3"/>
    </xf>
    <xf numFmtId="0" fontId="78" fillId="0" borderId="25" xfId="0" applyFont="1" applyFill="1" applyBorder="1" applyAlignment="1">
      <alignment horizontal="left" indent="6"/>
    </xf>
    <xf numFmtId="0" fontId="78" fillId="36" borderId="25" xfId="0" applyNumberFormat="1" applyFont="1" applyFill="1" applyBorder="1" applyAlignment="1">
      <alignment/>
    </xf>
    <xf numFmtId="3" fontId="85" fillId="0" borderId="58" xfId="0" applyNumberFormat="1" applyFont="1" applyBorder="1" applyAlignment="1">
      <alignment/>
    </xf>
    <xf numFmtId="3" fontId="85" fillId="0" borderId="59" xfId="0" applyNumberFormat="1" applyFont="1" applyBorder="1" applyAlignment="1">
      <alignment/>
    </xf>
    <xf numFmtId="3" fontId="85" fillId="0" borderId="79" xfId="0" applyNumberFormat="1" applyFont="1" applyBorder="1" applyAlignment="1">
      <alignment/>
    </xf>
    <xf numFmtId="3" fontId="85" fillId="0" borderId="12" xfId="0" applyNumberFormat="1" applyFont="1" applyBorder="1" applyAlignment="1">
      <alignment/>
    </xf>
    <xf numFmtId="3" fontId="85" fillId="0" borderId="76" xfId="0" applyNumberFormat="1" applyFont="1" applyBorder="1" applyAlignment="1">
      <alignment/>
    </xf>
    <xf numFmtId="3" fontId="85" fillId="0" borderId="60" xfId="0" applyNumberFormat="1" applyFont="1" applyBorder="1" applyAlignment="1">
      <alignment/>
    </xf>
    <xf numFmtId="3" fontId="83" fillId="0" borderId="13" xfId="0" applyNumberFormat="1" applyFont="1" applyFill="1" applyBorder="1" applyAlignment="1">
      <alignment/>
    </xf>
    <xf numFmtId="4" fontId="83" fillId="35" borderId="17" xfId="0" applyNumberFormat="1" applyFont="1" applyFill="1" applyBorder="1" applyAlignment="1">
      <alignment/>
    </xf>
    <xf numFmtId="3" fontId="83" fillId="34" borderId="17" xfId="0" applyNumberFormat="1" applyFont="1" applyFill="1" applyBorder="1" applyAlignment="1">
      <alignment/>
    </xf>
    <xf numFmtId="0" fontId="95" fillId="0" borderId="0" xfId="0" applyFont="1" applyAlignment="1">
      <alignment horizontal="right" wrapText="1"/>
    </xf>
    <xf numFmtId="0" fontId="95" fillId="0" borderId="0" xfId="0" applyFont="1" applyAlignment="1">
      <alignment/>
    </xf>
    <xf numFmtId="0" fontId="77" fillId="0" borderId="0" xfId="0" applyFont="1" applyAlignment="1">
      <alignment/>
    </xf>
    <xf numFmtId="0" fontId="96" fillId="0" borderId="27" xfId="0" applyFont="1" applyBorder="1" applyAlignment="1">
      <alignment/>
    </xf>
    <xf numFmtId="0" fontId="97" fillId="0" borderId="27" xfId="0" applyFont="1" applyBorder="1" applyAlignment="1">
      <alignment wrapText="1"/>
    </xf>
    <xf numFmtId="3" fontId="97" fillId="0" borderId="27" xfId="0" applyNumberFormat="1" applyFont="1" applyBorder="1" applyAlignment="1">
      <alignment/>
    </xf>
    <xf numFmtId="0" fontId="77" fillId="0" borderId="27" xfId="0" applyFont="1" applyBorder="1" applyAlignment="1">
      <alignment/>
    </xf>
    <xf numFmtId="3" fontId="77" fillId="0" borderId="27" xfId="0" applyNumberFormat="1" applyFont="1" applyBorder="1" applyAlignment="1">
      <alignment/>
    </xf>
    <xf numFmtId="3" fontId="96" fillId="0" borderId="27" xfId="0" applyNumberFormat="1" applyFont="1" applyBorder="1" applyAlignment="1">
      <alignment/>
    </xf>
    <xf numFmtId="0" fontId="77" fillId="0" borderId="27" xfId="0" applyFont="1" applyBorder="1" applyAlignment="1">
      <alignment wrapText="1"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77" fillId="0" borderId="0" xfId="0" applyFont="1" applyAlignment="1">
      <alignment wrapText="1"/>
    </xf>
    <xf numFmtId="0" fontId="78" fillId="0" borderId="21" xfId="0" applyFont="1" applyFill="1" applyBorder="1" applyAlignment="1">
      <alignment horizontal="right"/>
    </xf>
    <xf numFmtId="0" fontId="88" fillId="0" borderId="22" xfId="0" applyFont="1" applyFill="1" applyBorder="1" applyAlignment="1">
      <alignment horizontal="left" indent="1"/>
    </xf>
    <xf numFmtId="0" fontId="11" fillId="11" borderId="31" xfId="0" applyFont="1" applyFill="1" applyBorder="1" applyAlignment="1">
      <alignment horizontal="center" vertical="center"/>
    </xf>
    <xf numFmtId="49" fontId="11" fillId="11" borderId="32" xfId="0" applyNumberFormat="1" applyFont="1" applyFill="1" applyBorder="1" applyAlignment="1">
      <alignment vertical="center" wrapText="1"/>
    </xf>
    <xf numFmtId="164" fontId="11" fillId="11" borderId="35" xfId="0" applyNumberFormat="1" applyFont="1" applyFill="1" applyBorder="1" applyAlignment="1">
      <alignment horizontal="center" vertical="center"/>
    </xf>
    <xf numFmtId="3" fontId="11" fillId="11" borderId="67" xfId="50" applyNumberFormat="1" applyFont="1" applyFill="1" applyBorder="1" applyAlignment="1">
      <alignment vertical="center"/>
    </xf>
    <xf numFmtId="3" fontId="11" fillId="11" borderId="49" xfId="50" applyNumberFormat="1" applyFont="1" applyFill="1" applyBorder="1" applyAlignment="1">
      <alignment vertical="center"/>
    </xf>
    <xf numFmtId="10" fontId="11" fillId="11" borderId="32" xfId="50" applyNumberFormat="1" applyFont="1" applyFill="1" applyBorder="1" applyAlignment="1">
      <alignment vertical="center"/>
    </xf>
    <xf numFmtId="3" fontId="11" fillId="11" borderId="39" xfId="48" applyNumberFormat="1" applyFont="1" applyFill="1" applyBorder="1" applyAlignment="1">
      <alignment vertical="center"/>
      <protection/>
    </xf>
    <xf numFmtId="0" fontId="13" fillId="33" borderId="28" xfId="0" applyFont="1" applyFill="1" applyBorder="1" applyAlignment="1">
      <alignment horizontal="center" vertical="center"/>
    </xf>
    <xf numFmtId="49" fontId="13" fillId="33" borderId="27" xfId="0" applyNumberFormat="1" applyFont="1" applyFill="1" applyBorder="1" applyAlignment="1">
      <alignment vertical="center" wrapText="1"/>
    </xf>
    <xf numFmtId="10" fontId="13" fillId="0" borderId="27" xfId="50" applyNumberFormat="1" applyFont="1" applyFill="1" applyBorder="1" applyAlignment="1">
      <alignment vertical="center"/>
    </xf>
    <xf numFmtId="0" fontId="11" fillId="11" borderId="28" xfId="0" applyFont="1" applyFill="1" applyBorder="1" applyAlignment="1">
      <alignment horizontal="center" vertical="center"/>
    </xf>
    <xf numFmtId="49" fontId="11" fillId="11" borderId="27" xfId="0" applyNumberFormat="1" applyFont="1" applyFill="1" applyBorder="1" applyAlignment="1">
      <alignment vertical="center" wrapText="1"/>
    </xf>
    <xf numFmtId="3" fontId="11" fillId="11" borderId="28" xfId="48" applyNumberFormat="1" applyFont="1" applyFill="1" applyBorder="1" applyAlignment="1">
      <alignment vertical="center"/>
      <protection/>
    </xf>
    <xf numFmtId="3" fontId="11" fillId="11" borderId="27" xfId="48" applyNumberFormat="1" applyFont="1" applyFill="1" applyBorder="1" applyAlignment="1">
      <alignment vertical="center"/>
      <protection/>
    </xf>
    <xf numFmtId="10" fontId="19" fillId="11" borderId="27" xfId="50" applyNumberFormat="1" applyFont="1" applyFill="1" applyBorder="1" applyAlignment="1">
      <alignment vertical="center"/>
    </xf>
    <xf numFmtId="3" fontId="11" fillId="11" borderId="37" xfId="48" applyNumberFormat="1" applyFont="1" applyFill="1" applyBorder="1" applyAlignment="1">
      <alignment vertical="center"/>
      <protection/>
    </xf>
    <xf numFmtId="10" fontId="11" fillId="11" borderId="27" xfId="50" applyNumberFormat="1" applyFont="1" applyFill="1" applyBorder="1" applyAlignment="1">
      <alignment vertical="center"/>
    </xf>
    <xf numFmtId="3" fontId="13" fillId="0" borderId="54" xfId="50" applyNumberFormat="1" applyFont="1" applyFill="1" applyBorder="1" applyAlignment="1">
      <alignment vertical="center"/>
    </xf>
    <xf numFmtId="0" fontId="85" fillId="0" borderId="27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vertical="top" wrapText="1"/>
    </xf>
    <xf numFmtId="0" fontId="85" fillId="0" borderId="27" xfId="0" applyFont="1" applyBorder="1" applyAlignment="1">
      <alignment horizontal="left" vertical="top" wrapText="1"/>
    </xf>
    <xf numFmtId="0" fontId="99" fillId="0" borderId="27" xfId="0" applyFont="1" applyFill="1" applyBorder="1" applyAlignment="1">
      <alignment horizontal="center" vertical="top" wrapText="1"/>
    </xf>
    <xf numFmtId="4" fontId="85" fillId="0" borderId="27" xfId="0" applyNumberFormat="1" applyFont="1" applyFill="1" applyBorder="1" applyAlignment="1">
      <alignment horizontal="right" vertical="center"/>
    </xf>
    <xf numFmtId="4" fontId="85" fillId="0" borderId="27" xfId="0" applyNumberFormat="1" applyFont="1" applyBorder="1" applyAlignment="1">
      <alignment horizontal="right" vertical="top" wrapText="1"/>
    </xf>
    <xf numFmtId="0" fontId="99" fillId="0" borderId="27" xfId="0" applyFont="1" applyFill="1" applyBorder="1" applyAlignment="1">
      <alignment wrapText="1"/>
    </xf>
    <xf numFmtId="0" fontId="85" fillId="0" borderId="27" xfId="0" applyFont="1" applyFill="1" applyBorder="1" applyAlignment="1">
      <alignment horizontal="center" vertical="top" wrapText="1"/>
    </xf>
    <xf numFmtId="0" fontId="85" fillId="0" borderId="27" xfId="0" applyFont="1" applyFill="1" applyBorder="1" applyAlignment="1">
      <alignment horizontal="center" wrapText="1"/>
    </xf>
    <xf numFmtId="0" fontId="85" fillId="0" borderId="27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wrapText="1"/>
    </xf>
    <xf numFmtId="4" fontId="85" fillId="0" borderId="27" xfId="0" applyNumberFormat="1" applyFont="1" applyBorder="1" applyAlignment="1">
      <alignment horizontal="right"/>
    </xf>
    <xf numFmtId="0" fontId="85" fillId="0" borderId="27" xfId="0" applyFont="1" applyBorder="1" applyAlignment="1">
      <alignment/>
    </xf>
    <xf numFmtId="0" fontId="99" fillId="0" borderId="27" xfId="0" applyFont="1" applyFill="1" applyBorder="1" applyAlignment="1">
      <alignment horizontal="center" vertical="center" wrapText="1"/>
    </xf>
    <xf numFmtId="0" fontId="85" fillId="0" borderId="27" xfId="0" applyFont="1" applyBorder="1" applyAlignment="1">
      <alignment vertical="justify"/>
    </xf>
    <xf numFmtId="3" fontId="11" fillId="0" borderId="21" xfId="48" applyNumberFormat="1" applyFont="1" applyFill="1" applyBorder="1" applyAlignment="1">
      <alignment vertical="center"/>
      <protection/>
    </xf>
    <xf numFmtId="3" fontId="11" fillId="0" borderId="27" xfId="48" applyNumberFormat="1" applyFont="1" applyFill="1" applyBorder="1" applyAlignment="1">
      <alignment vertical="center"/>
      <protection/>
    </xf>
    <xf numFmtId="3" fontId="13" fillId="0" borderId="20" xfId="48" applyNumberFormat="1" applyFont="1" applyFill="1" applyBorder="1" applyAlignment="1">
      <alignment vertical="center"/>
      <protection/>
    </xf>
    <xf numFmtId="0" fontId="100" fillId="0" borderId="48" xfId="0" applyFont="1" applyBorder="1" applyAlignment="1">
      <alignment vertical="top" wrapText="1"/>
    </xf>
    <xf numFmtId="3" fontId="100" fillId="0" borderId="48" xfId="0" applyNumberFormat="1" applyFont="1" applyBorder="1" applyAlignment="1">
      <alignment horizontal="right" vertical="top"/>
    </xf>
    <xf numFmtId="3" fontId="100" fillId="4" borderId="48" xfId="0" applyNumberFormat="1" applyFont="1" applyFill="1" applyBorder="1" applyAlignment="1">
      <alignment horizontal="right" vertical="top"/>
    </xf>
    <xf numFmtId="3" fontId="100" fillId="0" borderId="47" xfId="0" applyNumberFormat="1" applyFont="1" applyBorder="1" applyAlignment="1">
      <alignment horizontal="right" vertical="top"/>
    </xf>
    <xf numFmtId="0" fontId="0" fillId="0" borderId="48" xfId="0" applyFont="1" applyFill="1" applyBorder="1" applyAlignment="1">
      <alignment vertical="top" wrapText="1"/>
    </xf>
    <xf numFmtId="0" fontId="100" fillId="0" borderId="48" xfId="0" applyFont="1" applyFill="1" applyBorder="1" applyAlignment="1">
      <alignment vertical="top" wrapText="1"/>
    </xf>
    <xf numFmtId="0" fontId="71" fillId="0" borderId="48" xfId="0" applyFont="1" applyBorder="1" applyAlignment="1">
      <alignment vertical="top" wrapText="1"/>
    </xf>
    <xf numFmtId="3" fontId="71" fillId="0" borderId="48" xfId="0" applyNumberFormat="1" applyFont="1" applyBorder="1" applyAlignment="1">
      <alignment horizontal="right" vertical="top"/>
    </xf>
    <xf numFmtId="3" fontId="71" fillId="4" borderId="48" xfId="0" applyNumberFormat="1" applyFont="1" applyFill="1" applyBorder="1" applyAlignment="1">
      <alignment horizontal="right" vertical="top"/>
    </xf>
    <xf numFmtId="3" fontId="71" fillId="0" borderId="47" xfId="0" applyNumberFormat="1" applyFont="1" applyBorder="1" applyAlignment="1">
      <alignment horizontal="right" vertical="top"/>
    </xf>
    <xf numFmtId="3" fontId="12" fillId="0" borderId="27" xfId="48" applyNumberFormat="1" applyFont="1" applyFill="1" applyBorder="1" applyAlignment="1">
      <alignment vertical="center"/>
      <protection/>
    </xf>
    <xf numFmtId="0" fontId="78" fillId="0" borderId="42" xfId="0" applyNumberFormat="1" applyFont="1" applyBorder="1" applyAlignment="1">
      <alignment/>
    </xf>
    <xf numFmtId="0" fontId="78" fillId="0" borderId="43" xfId="0" applyNumberFormat="1" applyFont="1" applyBorder="1" applyAlignment="1">
      <alignment/>
    </xf>
    <xf numFmtId="0" fontId="78" fillId="0" borderId="27" xfId="0" applyNumberFormat="1" applyFont="1" applyBorder="1" applyAlignment="1">
      <alignment/>
    </xf>
    <xf numFmtId="0" fontId="78" fillId="0" borderId="33" xfId="0" applyNumberFormat="1" applyFont="1" applyBorder="1" applyAlignment="1">
      <alignment/>
    </xf>
    <xf numFmtId="0" fontId="78" fillId="0" borderId="0" xfId="0" applyFont="1" applyAlignment="1">
      <alignment horizontal="left"/>
    </xf>
    <xf numFmtId="0" fontId="80" fillId="13" borderId="43" xfId="0" applyFont="1" applyFill="1" applyBorder="1" applyAlignment="1">
      <alignment horizontal="right" vertical="center" wrapText="1" indent="1"/>
    </xf>
    <xf numFmtId="0" fontId="80" fillId="13" borderId="12" xfId="0" applyFont="1" applyFill="1" applyBorder="1" applyAlignment="1">
      <alignment horizontal="right" vertical="center" wrapText="1" indent="1"/>
    </xf>
    <xf numFmtId="0" fontId="79" fillId="13" borderId="13" xfId="0" applyFont="1" applyFill="1" applyBorder="1" applyAlignment="1">
      <alignment horizontal="center" vertical="center" wrapText="1"/>
    </xf>
    <xf numFmtId="0" fontId="79" fillId="13" borderId="14" xfId="0" applyFont="1" applyFill="1" applyBorder="1" applyAlignment="1">
      <alignment horizontal="center" vertical="center" wrapText="1"/>
    </xf>
    <xf numFmtId="0" fontId="79" fillId="13" borderId="15" xfId="0" applyFont="1" applyFill="1" applyBorder="1" applyAlignment="1">
      <alignment horizontal="center" vertical="center" wrapText="1"/>
    </xf>
    <xf numFmtId="0" fontId="79" fillId="13" borderId="78" xfId="0" applyFont="1" applyFill="1" applyBorder="1" applyAlignment="1">
      <alignment horizontal="center" vertical="center" wrapText="1"/>
    </xf>
    <xf numFmtId="0" fontId="79" fillId="13" borderId="62" xfId="0" applyFont="1" applyFill="1" applyBorder="1" applyAlignment="1">
      <alignment horizontal="center" vertical="center" wrapText="1"/>
    </xf>
    <xf numFmtId="0" fontId="79" fillId="13" borderId="71" xfId="0" applyFont="1" applyFill="1" applyBorder="1" applyAlignment="1">
      <alignment horizontal="center" vertical="center" wrapText="1"/>
    </xf>
    <xf numFmtId="0" fontId="80" fillId="13" borderId="10" xfId="0" applyFont="1" applyFill="1" applyBorder="1" applyAlignment="1">
      <alignment horizontal="right" vertical="center" wrapText="1" indent="1"/>
    </xf>
    <xf numFmtId="0" fontId="80" fillId="13" borderId="0" xfId="0" applyFont="1" applyFill="1" applyBorder="1" applyAlignment="1">
      <alignment horizontal="right" vertical="center" wrapText="1" indent="1"/>
    </xf>
    <xf numFmtId="0" fontId="80" fillId="13" borderId="0" xfId="0" applyFont="1" applyFill="1" applyBorder="1" applyAlignment="1">
      <alignment horizontal="left" vertical="center" wrapText="1"/>
    </xf>
    <xf numFmtId="0" fontId="80" fillId="13" borderId="11" xfId="0" applyFont="1" applyFill="1" applyBorder="1" applyAlignment="1">
      <alignment horizontal="left" vertical="center" wrapText="1"/>
    </xf>
    <xf numFmtId="0" fontId="84" fillId="7" borderId="31" xfId="0" applyFont="1" applyFill="1" applyBorder="1" applyAlignment="1">
      <alignment horizontal="center" vertical="center" wrapText="1"/>
    </xf>
    <xf numFmtId="0" fontId="84" fillId="7" borderId="32" xfId="0" applyFont="1" applyFill="1" applyBorder="1" applyAlignment="1">
      <alignment horizontal="center" vertical="center" wrapText="1"/>
    </xf>
    <xf numFmtId="0" fontId="84" fillId="7" borderId="39" xfId="0" applyFont="1" applyFill="1" applyBorder="1" applyAlignment="1">
      <alignment horizontal="center" vertical="center" wrapText="1"/>
    </xf>
    <xf numFmtId="0" fontId="84" fillId="7" borderId="80" xfId="0" applyFont="1" applyFill="1" applyBorder="1" applyAlignment="1">
      <alignment horizontal="center" vertical="center"/>
    </xf>
    <xf numFmtId="0" fontId="84" fillId="7" borderId="49" xfId="0" applyFont="1" applyFill="1" applyBorder="1" applyAlignment="1">
      <alignment horizontal="center" vertical="center"/>
    </xf>
    <xf numFmtId="0" fontId="84" fillId="7" borderId="76" xfId="0" applyFont="1" applyFill="1" applyBorder="1" applyAlignment="1">
      <alignment horizontal="center" vertical="center"/>
    </xf>
    <xf numFmtId="0" fontId="84" fillId="7" borderId="80" xfId="0" applyFont="1" applyFill="1" applyBorder="1" applyAlignment="1">
      <alignment horizontal="center" vertical="center" wrapText="1"/>
    </xf>
    <xf numFmtId="0" fontId="84" fillId="7" borderId="49" xfId="0" applyFont="1" applyFill="1" applyBorder="1" applyAlignment="1">
      <alignment horizontal="center" vertical="center" wrapText="1"/>
    </xf>
    <xf numFmtId="0" fontId="84" fillId="7" borderId="76" xfId="0" applyFont="1" applyFill="1" applyBorder="1" applyAlignment="1">
      <alignment horizontal="center" vertical="center" wrapText="1"/>
    </xf>
    <xf numFmtId="0" fontId="80" fillId="19" borderId="13" xfId="0" applyFont="1" applyFill="1" applyBorder="1" applyAlignment="1">
      <alignment horizontal="center" vertical="center" wrapText="1"/>
    </xf>
    <xf numFmtId="0" fontId="80" fillId="19" borderId="14" xfId="0" applyFont="1" applyFill="1" applyBorder="1" applyAlignment="1">
      <alignment horizontal="center" vertical="center" wrapText="1"/>
    </xf>
    <xf numFmtId="0" fontId="80" fillId="19" borderId="15" xfId="0" applyFont="1" applyFill="1" applyBorder="1" applyAlignment="1">
      <alignment horizontal="center" vertical="center" wrapText="1"/>
    </xf>
    <xf numFmtId="0" fontId="78" fillId="7" borderId="31" xfId="0" applyFont="1" applyFill="1" applyBorder="1" applyAlignment="1">
      <alignment horizontal="center" vertical="center" wrapText="1"/>
    </xf>
    <xf numFmtId="0" fontId="78" fillId="7" borderId="28" xfId="0" applyFont="1" applyFill="1" applyBorder="1" applyAlignment="1">
      <alignment horizontal="center" vertical="center" wrapText="1"/>
    </xf>
    <xf numFmtId="0" fontId="78" fillId="7" borderId="29" xfId="0" applyFont="1" applyFill="1" applyBorder="1" applyAlignment="1">
      <alignment horizontal="center" vertical="center" wrapText="1"/>
    </xf>
    <xf numFmtId="0" fontId="84" fillId="7" borderId="27" xfId="0" applyFont="1" applyFill="1" applyBorder="1" applyAlignment="1">
      <alignment horizontal="center" vertical="center" wrapText="1"/>
    </xf>
    <xf numFmtId="0" fontId="84" fillId="7" borderId="30" xfId="0" applyFont="1" applyFill="1" applyBorder="1" applyAlignment="1">
      <alignment horizontal="center" vertical="center" wrapText="1"/>
    </xf>
    <xf numFmtId="0" fontId="84" fillId="7" borderId="81" xfId="0" applyFont="1" applyFill="1" applyBorder="1" applyAlignment="1">
      <alignment horizontal="center" vertical="center"/>
    </xf>
    <xf numFmtId="0" fontId="84" fillId="7" borderId="82" xfId="0" applyFont="1" applyFill="1" applyBorder="1" applyAlignment="1">
      <alignment horizontal="center" vertical="center"/>
    </xf>
    <xf numFmtId="0" fontId="84" fillId="7" borderId="46" xfId="0" applyFont="1" applyFill="1" applyBorder="1" applyAlignment="1">
      <alignment horizontal="center" vertical="center"/>
    </xf>
    <xf numFmtId="0" fontId="84" fillId="19" borderId="31" xfId="0" applyFont="1" applyFill="1" applyBorder="1" applyAlignment="1">
      <alignment horizontal="center" vertical="center" wrapText="1"/>
    </xf>
    <xf numFmtId="0" fontId="84" fillId="19" borderId="73" xfId="0" applyFont="1" applyFill="1" applyBorder="1" applyAlignment="1">
      <alignment horizontal="center" vertical="center" wrapText="1"/>
    </xf>
    <xf numFmtId="0" fontId="84" fillId="19" borderId="39" xfId="0" applyFont="1" applyFill="1" applyBorder="1" applyAlignment="1">
      <alignment horizontal="center" vertical="center" wrapText="1"/>
    </xf>
    <xf numFmtId="0" fontId="84" fillId="19" borderId="32" xfId="0" applyFont="1" applyFill="1" applyBorder="1" applyAlignment="1">
      <alignment horizontal="center" vertical="center" wrapText="1"/>
    </xf>
    <xf numFmtId="0" fontId="84" fillId="19" borderId="13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84" fillId="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2" fillId="13" borderId="13" xfId="0" applyFont="1" applyFill="1" applyBorder="1" applyAlignment="1">
      <alignment horizontal="left" vertical="center"/>
    </xf>
    <xf numFmtId="0" fontId="82" fillId="13" borderId="15" xfId="0" applyFont="1" applyFill="1" applyBorder="1" applyAlignment="1">
      <alignment horizontal="left" vertical="center"/>
    </xf>
    <xf numFmtId="0" fontId="96" fillId="0" borderId="27" xfId="0" applyFont="1" applyFill="1" applyBorder="1" applyAlignment="1">
      <alignment/>
    </xf>
    <xf numFmtId="0" fontId="96" fillId="0" borderId="33" xfId="0" applyFont="1" applyFill="1" applyBorder="1" applyAlignment="1">
      <alignment/>
    </xf>
    <xf numFmtId="0" fontId="96" fillId="0" borderId="27" xfId="0" applyFont="1" applyBorder="1" applyAlignment="1">
      <alignment/>
    </xf>
    <xf numFmtId="0" fontId="96" fillId="0" borderId="33" xfId="0" applyFont="1" applyBorder="1" applyAlignment="1">
      <alignment/>
    </xf>
    <xf numFmtId="0" fontId="82" fillId="7" borderId="80" xfId="0" applyFont="1" applyFill="1" applyBorder="1" applyAlignment="1">
      <alignment horizontal="left" vertical="center"/>
    </xf>
    <xf numFmtId="0" fontId="82" fillId="7" borderId="49" xfId="0" applyFont="1" applyFill="1" applyBorder="1" applyAlignment="1">
      <alignment horizontal="left" vertical="center"/>
    </xf>
    <xf numFmtId="0" fontId="82" fillId="7" borderId="76" xfId="0" applyFont="1" applyFill="1" applyBorder="1" applyAlignment="1">
      <alignment horizontal="left" vertical="center"/>
    </xf>
    <xf numFmtId="0" fontId="84" fillId="7" borderId="31" xfId="0" applyFont="1" applyFill="1" applyBorder="1" applyAlignment="1">
      <alignment horizontal="center" vertical="center"/>
    </xf>
    <xf numFmtId="0" fontId="84" fillId="7" borderId="28" xfId="0" applyFont="1" applyFill="1" applyBorder="1" applyAlignment="1">
      <alignment horizontal="center" vertical="center"/>
    </xf>
    <xf numFmtId="0" fontId="84" fillId="7" borderId="29" xfId="0" applyFont="1" applyFill="1" applyBorder="1" applyAlignment="1">
      <alignment horizontal="center" vertical="center"/>
    </xf>
    <xf numFmtId="0" fontId="83" fillId="7" borderId="64" xfId="0" applyFont="1" applyFill="1" applyBorder="1" applyAlignment="1">
      <alignment horizontal="left" vertical="center"/>
    </xf>
    <xf numFmtId="0" fontId="83" fillId="7" borderId="65" xfId="0" applyFont="1" applyFill="1" applyBorder="1" applyAlignment="1">
      <alignment horizontal="left" vertical="center"/>
    </xf>
    <xf numFmtId="0" fontId="83" fillId="7" borderId="72" xfId="0" applyFont="1" applyFill="1" applyBorder="1" applyAlignment="1">
      <alignment horizontal="left" vertical="center"/>
    </xf>
    <xf numFmtId="0" fontId="83" fillId="7" borderId="80" xfId="0" applyFont="1" applyFill="1" applyBorder="1" applyAlignment="1">
      <alignment horizontal="left" vertical="center"/>
    </xf>
    <xf numFmtId="0" fontId="83" fillId="7" borderId="49" xfId="0" applyFont="1" applyFill="1" applyBorder="1" applyAlignment="1">
      <alignment horizontal="left" vertical="center"/>
    </xf>
    <xf numFmtId="0" fontId="83" fillId="7" borderId="76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82" fillId="19" borderId="13" xfId="0" applyFont="1" applyFill="1" applyBorder="1" applyAlignment="1">
      <alignment horizontal="center" vertical="center"/>
    </xf>
    <xf numFmtId="0" fontId="82" fillId="19" borderId="14" xfId="0" applyFont="1" applyFill="1" applyBorder="1" applyAlignment="1">
      <alignment horizontal="center" vertical="center"/>
    </xf>
    <xf numFmtId="0" fontId="82" fillId="19" borderId="15" xfId="0" applyFont="1" applyFill="1" applyBorder="1" applyAlignment="1">
      <alignment horizontal="center" vertical="center"/>
    </xf>
    <xf numFmtId="0" fontId="84" fillId="7" borderId="28" xfId="0" applyFont="1" applyFill="1" applyBorder="1" applyAlignment="1">
      <alignment horizontal="center" vertical="center"/>
    </xf>
    <xf numFmtId="0" fontId="83" fillId="7" borderId="13" xfId="0" applyFont="1" applyFill="1" applyBorder="1" applyAlignment="1">
      <alignment horizontal="left"/>
    </xf>
    <xf numFmtId="0" fontId="83" fillId="7" borderId="14" xfId="0" applyFont="1" applyFill="1" applyBorder="1" applyAlignment="1">
      <alignment horizontal="left"/>
    </xf>
    <xf numFmtId="0" fontId="83" fillId="7" borderId="15" xfId="0" applyFont="1" applyFill="1" applyBorder="1" applyAlignment="1">
      <alignment horizontal="left"/>
    </xf>
    <xf numFmtId="0" fontId="82" fillId="7" borderId="13" xfId="0" applyFont="1" applyFill="1" applyBorder="1" applyAlignment="1">
      <alignment horizontal="left"/>
    </xf>
    <xf numFmtId="0" fontId="82" fillId="7" borderId="14" xfId="0" applyFont="1" applyFill="1" applyBorder="1" applyAlignment="1">
      <alignment horizontal="left"/>
    </xf>
    <xf numFmtId="0" fontId="82" fillId="7" borderId="15" xfId="0" applyFont="1" applyFill="1" applyBorder="1" applyAlignment="1">
      <alignment horizontal="left"/>
    </xf>
    <xf numFmtId="0" fontId="85" fillId="7" borderId="64" xfId="0" applyFont="1" applyFill="1" applyBorder="1" applyAlignment="1">
      <alignment horizontal="center"/>
    </xf>
    <xf numFmtId="0" fontId="85" fillId="7" borderId="63" xfId="0" applyFont="1" applyFill="1" applyBorder="1" applyAlignment="1">
      <alignment horizontal="center"/>
    </xf>
    <xf numFmtId="0" fontId="83" fillId="7" borderId="65" xfId="0" applyFont="1" applyFill="1" applyBorder="1" applyAlignment="1">
      <alignment horizontal="center" vertical="center"/>
    </xf>
    <xf numFmtId="0" fontId="83" fillId="7" borderId="74" xfId="0" applyFont="1" applyFill="1" applyBorder="1" applyAlignment="1">
      <alignment horizontal="center" vertical="center"/>
    </xf>
    <xf numFmtId="3" fontId="83" fillId="7" borderId="80" xfId="0" applyNumberFormat="1" applyFont="1" applyFill="1" applyBorder="1" applyAlignment="1">
      <alignment horizontal="center"/>
    </xf>
    <xf numFmtId="3" fontId="83" fillId="7" borderId="49" xfId="0" applyNumberFormat="1" applyFont="1" applyFill="1" applyBorder="1" applyAlignment="1">
      <alignment horizontal="center"/>
    </xf>
    <xf numFmtId="3" fontId="83" fillId="7" borderId="76" xfId="0" applyNumberFormat="1" applyFont="1" applyFill="1" applyBorder="1" applyAlignment="1">
      <alignment horizontal="center"/>
    </xf>
    <xf numFmtId="0" fontId="82" fillId="7" borderId="64" xfId="0" applyFont="1" applyFill="1" applyBorder="1" applyAlignment="1">
      <alignment horizontal="left" vertical="center"/>
    </xf>
    <xf numFmtId="0" fontId="82" fillId="7" borderId="63" xfId="0" applyFont="1" applyFill="1" applyBorder="1" applyAlignment="1">
      <alignment horizontal="left" vertical="center"/>
    </xf>
    <xf numFmtId="0" fontId="84" fillId="7" borderId="77" xfId="0" applyFont="1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83" fillId="7" borderId="77" xfId="0" applyFont="1" applyFill="1" applyBorder="1" applyAlignment="1">
      <alignment horizontal="center" vertical="center"/>
    </xf>
    <xf numFmtId="0" fontId="101" fillId="7" borderId="68" xfId="0" applyFont="1" applyFill="1" applyBorder="1" applyAlignment="1">
      <alignment horizontal="center" vertical="center"/>
    </xf>
    <xf numFmtId="0" fontId="101" fillId="7" borderId="7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83" fillId="7" borderId="72" xfId="0" applyFont="1" applyFill="1" applyBorder="1" applyAlignment="1">
      <alignment horizontal="center" vertical="center"/>
    </xf>
    <xf numFmtId="0" fontId="101" fillId="7" borderId="66" xfId="0" applyFont="1" applyFill="1" applyBorder="1" applyAlignment="1">
      <alignment horizontal="center" vertical="center"/>
    </xf>
    <xf numFmtId="0" fontId="83" fillId="7" borderId="6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3" fillId="7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4" fillId="19" borderId="77" xfId="0" applyFont="1" applyFill="1" applyBorder="1" applyAlignment="1">
      <alignment horizontal="center" vertical="center" wrapText="1"/>
    </xf>
    <xf numFmtId="0" fontId="84" fillId="19" borderId="83" xfId="0" applyFont="1" applyFill="1" applyBorder="1" applyAlignment="1">
      <alignment horizontal="center" vertical="center" wrapText="1"/>
    </xf>
    <xf numFmtId="0" fontId="84" fillId="19" borderId="68" xfId="0" applyFont="1" applyFill="1" applyBorder="1" applyAlignment="1">
      <alignment horizontal="center" vertical="center" wrapText="1"/>
    </xf>
    <xf numFmtId="0" fontId="84" fillId="7" borderId="42" xfId="0" applyFont="1" applyFill="1" applyBorder="1" applyAlignment="1">
      <alignment horizontal="center" vertical="center" wrapText="1"/>
    </xf>
    <xf numFmtId="0" fontId="84" fillId="7" borderId="30" xfId="0" applyFont="1" applyFill="1" applyBorder="1" applyAlignment="1">
      <alignment horizontal="center" vertical="center" wrapText="1"/>
    </xf>
    <xf numFmtId="0" fontId="84" fillId="7" borderId="41" xfId="0" applyFont="1" applyFill="1" applyBorder="1" applyAlignment="1">
      <alignment horizontal="center" vertical="center" wrapText="1"/>
    </xf>
    <xf numFmtId="0" fontId="84" fillId="7" borderId="38" xfId="0" applyFont="1" applyFill="1" applyBorder="1" applyAlignment="1">
      <alignment horizontal="center" vertical="center" wrapText="1"/>
    </xf>
    <xf numFmtId="0" fontId="78" fillId="7" borderId="28" xfId="0" applyFont="1" applyFill="1" applyBorder="1" applyAlignment="1">
      <alignment horizontal="center" vertical="center" wrapText="1"/>
    </xf>
    <xf numFmtId="0" fontId="78" fillId="7" borderId="29" xfId="0" applyFont="1" applyFill="1" applyBorder="1" applyAlignment="1">
      <alignment horizontal="center" vertical="center" wrapText="1"/>
    </xf>
    <xf numFmtId="0" fontId="84" fillId="7" borderId="27" xfId="0" applyFont="1" applyFill="1" applyBorder="1" applyAlignment="1">
      <alignment horizontal="center" vertical="center" wrapText="1"/>
    </xf>
    <xf numFmtId="0" fontId="84" fillId="7" borderId="84" xfId="0" applyFont="1" applyFill="1" applyBorder="1" applyAlignment="1">
      <alignment horizontal="center" vertical="center"/>
    </xf>
    <xf numFmtId="0" fontId="84" fillId="7" borderId="10" xfId="0" applyFont="1" applyFill="1" applyBorder="1" applyAlignment="1">
      <alignment horizontal="center" vertical="center"/>
    </xf>
    <xf numFmtId="0" fontId="84" fillId="7" borderId="85" xfId="0" applyFont="1" applyFill="1" applyBorder="1" applyAlignment="1">
      <alignment horizontal="center" vertical="center"/>
    </xf>
    <xf numFmtId="0" fontId="84" fillId="19" borderId="72" xfId="0" applyFont="1" applyFill="1" applyBorder="1" applyAlignment="1">
      <alignment horizontal="center" vertical="center" wrapText="1"/>
    </xf>
    <xf numFmtId="0" fontId="84" fillId="19" borderId="86" xfId="0" applyFont="1" applyFill="1" applyBorder="1" applyAlignment="1">
      <alignment horizontal="center" vertical="center" wrapText="1"/>
    </xf>
    <xf numFmtId="0" fontId="84" fillId="19" borderId="66" xfId="0" applyFont="1" applyFill="1" applyBorder="1" applyAlignment="1">
      <alignment horizontal="center" vertical="center" wrapText="1"/>
    </xf>
    <xf numFmtId="0" fontId="84" fillId="7" borderId="14" xfId="0" applyFont="1" applyFill="1" applyBorder="1" applyAlignment="1">
      <alignment horizontal="center" vertical="center"/>
    </xf>
    <xf numFmtId="0" fontId="84" fillId="7" borderId="15" xfId="0" applyFont="1" applyFill="1" applyBorder="1" applyAlignment="1">
      <alignment horizontal="center" vertical="center"/>
    </xf>
    <xf numFmtId="0" fontId="84" fillId="7" borderId="87" xfId="0" applyFont="1" applyFill="1" applyBorder="1" applyAlignment="1">
      <alignment horizontal="center" vertical="center" wrapText="1"/>
    </xf>
    <xf numFmtId="0" fontId="84" fillId="7" borderId="44" xfId="0" applyFont="1" applyFill="1" applyBorder="1" applyAlignment="1">
      <alignment horizontal="center" vertical="center" wrapText="1"/>
    </xf>
    <xf numFmtId="0" fontId="84" fillId="7" borderId="88" xfId="0" applyFont="1" applyFill="1" applyBorder="1" applyAlignment="1">
      <alignment horizontal="center" vertical="center" wrapText="1"/>
    </xf>
    <xf numFmtId="0" fontId="84" fillId="7" borderId="45" xfId="0" applyFont="1" applyFill="1" applyBorder="1" applyAlignment="1">
      <alignment horizontal="center" vertical="center" wrapText="1"/>
    </xf>
    <xf numFmtId="0" fontId="84" fillId="19" borderId="87" xfId="0" applyFont="1" applyFill="1" applyBorder="1" applyAlignment="1">
      <alignment horizontal="center" vertical="center" wrapText="1"/>
    </xf>
    <xf numFmtId="0" fontId="84" fillId="19" borderId="89" xfId="0" applyFont="1" applyFill="1" applyBorder="1" applyAlignment="1">
      <alignment horizontal="center" vertical="center" wrapText="1"/>
    </xf>
    <xf numFmtId="0" fontId="84" fillId="19" borderId="44" xfId="0" applyFont="1" applyFill="1" applyBorder="1" applyAlignment="1">
      <alignment horizontal="center" vertical="center" wrapText="1"/>
    </xf>
    <xf numFmtId="0" fontId="80" fillId="19" borderId="13" xfId="0" applyFont="1" applyFill="1" applyBorder="1" applyAlignment="1">
      <alignment horizontal="center" vertical="center"/>
    </xf>
    <xf numFmtId="0" fontId="80" fillId="19" borderId="14" xfId="0" applyFont="1" applyFill="1" applyBorder="1" applyAlignment="1">
      <alignment horizontal="center" vertical="center"/>
    </xf>
    <xf numFmtId="0" fontId="80" fillId="19" borderId="15" xfId="0" applyFont="1" applyFill="1" applyBorder="1" applyAlignment="1">
      <alignment horizontal="center" vertical="center"/>
    </xf>
    <xf numFmtId="0" fontId="84" fillId="7" borderId="35" xfId="0" applyFont="1" applyFill="1" applyBorder="1" applyAlignment="1">
      <alignment horizontal="center" vertical="center"/>
    </xf>
    <xf numFmtId="0" fontId="82" fillId="19" borderId="13" xfId="0" applyFont="1" applyFill="1" applyBorder="1" applyAlignment="1">
      <alignment horizontal="center" vertical="center"/>
    </xf>
    <xf numFmtId="0" fontId="84" fillId="7" borderId="32" xfId="0" applyFont="1" applyFill="1" applyBorder="1" applyAlignment="1">
      <alignment horizontal="center" vertical="center"/>
    </xf>
    <xf numFmtId="0" fontId="84" fillId="7" borderId="27" xfId="0" applyFont="1" applyFill="1" applyBorder="1" applyAlignment="1">
      <alignment horizontal="center" vertical="center"/>
    </xf>
    <xf numFmtId="0" fontId="84" fillId="7" borderId="30" xfId="0" applyFont="1" applyFill="1" applyBorder="1" applyAlignment="1">
      <alignment horizontal="center" vertical="center"/>
    </xf>
    <xf numFmtId="0" fontId="84" fillId="7" borderId="73" xfId="0" applyFont="1" applyFill="1" applyBorder="1" applyAlignment="1">
      <alignment horizontal="center" vertical="center"/>
    </xf>
    <xf numFmtId="0" fontId="84" fillId="7" borderId="37" xfId="0" applyFont="1" applyFill="1" applyBorder="1" applyAlignment="1">
      <alignment horizontal="center" vertical="center" wrapText="1"/>
    </xf>
    <xf numFmtId="0" fontId="84" fillId="7" borderId="53" xfId="0" applyFont="1" applyFill="1" applyBorder="1" applyAlignment="1">
      <alignment horizontal="center" vertical="center" wrapText="1"/>
    </xf>
    <xf numFmtId="0" fontId="84" fillId="7" borderId="48" xfId="0" applyFont="1" applyFill="1" applyBorder="1" applyAlignment="1">
      <alignment horizontal="center" vertical="center" wrapText="1"/>
    </xf>
    <xf numFmtId="0" fontId="84" fillId="7" borderId="40" xfId="0" applyFont="1" applyFill="1" applyBorder="1" applyAlignment="1">
      <alignment horizontal="center" vertical="center" wrapText="1"/>
    </xf>
    <xf numFmtId="0" fontId="84" fillId="7" borderId="29" xfId="0" applyFont="1" applyFill="1" applyBorder="1" applyAlignment="1">
      <alignment horizontal="center" vertical="center" wrapText="1"/>
    </xf>
    <xf numFmtId="0" fontId="84" fillId="7" borderId="42" xfId="0" applyFont="1" applyFill="1" applyBorder="1" applyAlignment="1">
      <alignment horizontal="center" vertical="center" wrapText="1"/>
    </xf>
    <xf numFmtId="0" fontId="84" fillId="7" borderId="41" xfId="0" applyFont="1" applyFill="1" applyBorder="1" applyAlignment="1">
      <alignment horizontal="center" vertical="center" wrapText="1"/>
    </xf>
    <xf numFmtId="0" fontId="84" fillId="7" borderId="38" xfId="0" applyFont="1" applyFill="1" applyBorder="1" applyAlignment="1">
      <alignment horizontal="center" vertical="center" wrapText="1"/>
    </xf>
    <xf numFmtId="0" fontId="80" fillId="7" borderId="13" xfId="0" applyFont="1" applyFill="1" applyBorder="1" applyAlignment="1">
      <alignment horizontal="left" vertical="center"/>
    </xf>
    <xf numFmtId="0" fontId="80" fillId="7" borderId="14" xfId="0" applyFont="1" applyFill="1" applyBorder="1" applyAlignment="1">
      <alignment horizontal="left" vertical="center"/>
    </xf>
    <xf numFmtId="0" fontId="80" fillId="7" borderId="15" xfId="0" applyFont="1" applyFill="1" applyBorder="1" applyAlignment="1">
      <alignment horizontal="left" vertical="center"/>
    </xf>
    <xf numFmtId="0" fontId="87" fillId="7" borderId="64" xfId="0" applyFont="1" applyFill="1" applyBorder="1" applyAlignment="1">
      <alignment horizontal="right"/>
    </xf>
    <xf numFmtId="0" fontId="87" fillId="7" borderId="63" xfId="0" applyFont="1" applyFill="1" applyBorder="1" applyAlignment="1">
      <alignment horizontal="right"/>
    </xf>
    <xf numFmtId="4" fontId="12" fillId="7" borderId="80" xfId="46" applyNumberFormat="1" applyFont="1" applyFill="1" applyBorder="1" applyAlignment="1">
      <alignment horizontal="center"/>
      <protection/>
    </xf>
    <xf numFmtId="4" fontId="12" fillId="7" borderId="49" xfId="46" applyNumberFormat="1" applyFont="1" applyFill="1" applyBorder="1" applyAlignment="1">
      <alignment horizontal="center"/>
      <protection/>
    </xf>
    <xf numFmtId="4" fontId="12" fillId="7" borderId="76" xfId="46" applyNumberFormat="1" applyFont="1" applyFill="1" applyBorder="1" applyAlignment="1">
      <alignment horizontal="center"/>
      <protection/>
    </xf>
    <xf numFmtId="3" fontId="12" fillId="7" borderId="80" xfId="46" applyNumberFormat="1" applyFont="1" applyFill="1" applyBorder="1" applyAlignment="1">
      <alignment horizontal="center"/>
      <protection/>
    </xf>
    <xf numFmtId="3" fontId="12" fillId="7" borderId="49" xfId="46" applyNumberFormat="1" applyFont="1" applyFill="1" applyBorder="1" applyAlignment="1">
      <alignment horizontal="center"/>
      <protection/>
    </xf>
    <xf numFmtId="3" fontId="12" fillId="7" borderId="76" xfId="46" applyNumberFormat="1" applyFont="1" applyFill="1" applyBorder="1" applyAlignment="1">
      <alignment horizontal="center"/>
      <protection/>
    </xf>
    <xf numFmtId="0" fontId="15" fillId="7" borderId="20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center" wrapText="1"/>
    </xf>
    <xf numFmtId="0" fontId="15" fillId="7" borderId="58" xfId="0" applyFont="1" applyFill="1" applyBorder="1" applyAlignment="1">
      <alignment horizontal="left" vertical="center" wrapText="1"/>
    </xf>
    <xf numFmtId="0" fontId="15" fillId="7" borderId="87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29" fillId="19" borderId="13" xfId="0" applyFont="1" applyFill="1" applyBorder="1" applyAlignment="1">
      <alignment horizontal="center" wrapText="1"/>
    </xf>
    <xf numFmtId="0" fontId="29" fillId="19" borderId="14" xfId="0" applyFont="1" applyFill="1" applyBorder="1" applyAlignment="1">
      <alignment horizontal="center" wrapText="1"/>
    </xf>
    <xf numFmtId="0" fontId="29" fillId="19" borderId="15" xfId="0" applyFont="1" applyFill="1" applyBorder="1" applyAlignment="1">
      <alignment horizontal="center" wrapText="1"/>
    </xf>
    <xf numFmtId="0" fontId="15" fillId="7" borderId="88" xfId="0" applyNumberFormat="1" applyFont="1" applyFill="1" applyBorder="1" applyAlignment="1">
      <alignment horizontal="center" vertical="center" wrapText="1"/>
    </xf>
    <xf numFmtId="0" fontId="15" fillId="7" borderId="45" xfId="0" applyNumberFormat="1" applyFont="1" applyFill="1" applyBorder="1" applyAlignment="1">
      <alignment horizontal="center" vertical="center" wrapText="1"/>
    </xf>
    <xf numFmtId="3" fontId="15" fillId="7" borderId="35" xfId="0" applyNumberFormat="1" applyFont="1" applyFill="1" applyBorder="1" applyAlignment="1">
      <alignment horizontal="center" vertical="top" wrapText="1"/>
    </xf>
    <xf numFmtId="3" fontId="15" fillId="7" borderId="49" xfId="0" applyNumberFormat="1" applyFont="1" applyFill="1" applyBorder="1" applyAlignment="1">
      <alignment horizontal="center" vertical="top" wrapText="1"/>
    </xf>
    <xf numFmtId="3" fontId="15" fillId="7" borderId="76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 PO novela vyhl 13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čerpání nákladů 2014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0225"/>
          <c:w val="0.8485"/>
          <c:h val="0.76325"/>
        </c:manualLayout>
      </c:layout>
      <c:pie3DChart>
        <c:varyColors val="1"/>
        <c:ser>
          <c:idx val="0"/>
          <c:order val="0"/>
          <c:tx>
            <c:strRef>
              <c:f>'Grafy 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'!$A$3:$A$13</c:f>
              <c:strCache/>
            </c:strRef>
          </c:cat>
          <c:val>
            <c:numRef>
              <c:f>'Grafy '!$B$3:$B$13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vybrané výnosy 2016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975"/>
          <c:w val="0.845"/>
          <c:h val="0.737"/>
        </c:manualLayout>
      </c:layout>
      <c:pie3DChart>
        <c:varyColors val="1"/>
        <c:ser>
          <c:idx val="0"/>
          <c:order val="0"/>
          <c:tx>
            <c:strRef>
              <c:f>'Grafy '!$K$1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[NÁZEV KATEGORIE]
[PROCENTO]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'!$H$7:$H$15</c:f>
              <c:strCache/>
            </c:strRef>
          </c:cat>
          <c:val>
            <c:numRef>
              <c:f>'Grafy '!$K$7:$K$15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vybrané výnosy 2017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6925"/>
          <c:w val="0.8455"/>
          <c:h val="0.7375"/>
        </c:manualLayout>
      </c:layout>
      <c:pie3DChart>
        <c:varyColors val="1"/>
        <c:ser>
          <c:idx val="0"/>
          <c:order val="0"/>
          <c:tx>
            <c:strRef>
              <c:f>'Grafy '!$L$1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'!$H$7:$H$15</c:f>
              <c:strCache/>
            </c:strRef>
          </c:cat>
          <c:val>
            <c:numRef>
              <c:f>'Grafy '!$L$7:$L$15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vybrané výnosy 2018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975"/>
          <c:w val="0.8455"/>
          <c:h val="0.7375"/>
        </c:manualLayout>
      </c:layout>
      <c:pie3DChart>
        <c:varyColors val="1"/>
        <c:ser>
          <c:idx val="0"/>
          <c:order val="0"/>
          <c:tx>
            <c:strRef>
              <c:f>'Grafy '!$M$1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'!$H$7:$H$15</c:f>
              <c:strCache/>
            </c:strRef>
          </c:cat>
          <c:val>
            <c:numRef>
              <c:f>'Grafy '!$M$7:$M$15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vývoj těžební činnosti v letech 2014 - 2018</a:t>
            </a:r>
          </a:p>
        </c:rich>
      </c:tx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</c:title>
    <c:view3D>
      <c:rotX val="15"/>
      <c:hPercent val="117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545"/>
          <c:w val="0.970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'Grafy '!$O$2</c:f>
              <c:strCache>
                <c:ptCount val="1"/>
                <c:pt idx="0">
                  <c:v>Tržby z prodeje dřevní hmoty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'Grafy '!$T$1:$X$1</c:f>
              <c:numCache/>
            </c:numRef>
          </c:cat>
          <c:val>
            <c:numRef>
              <c:f>'Grafy '!$T$2:$X$2</c:f>
              <c:numCache/>
            </c:numRef>
          </c:val>
          <c:shape val="box"/>
        </c:ser>
        <c:ser>
          <c:idx val="1"/>
          <c:order val="1"/>
          <c:tx>
            <c:strRef>
              <c:f>'Grafy '!$O$3</c:f>
              <c:strCache>
                <c:ptCount val="1"/>
                <c:pt idx="0">
                  <c:v>Komplexní náklady na těžbu dřevní hmoty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'Grafy '!$T$1:$X$1</c:f>
              <c:numCache/>
            </c:numRef>
          </c:cat>
          <c:val>
            <c:numRef>
              <c:f>'Grafy '!$T$3:$X$3</c:f>
              <c:numCache/>
            </c:numRef>
          </c:val>
          <c:shape val="box"/>
        </c:ser>
        <c:ser>
          <c:idx val="2"/>
          <c:order val="2"/>
          <c:tx>
            <c:strRef>
              <c:f>'Grafy '!$O$4</c:f>
              <c:strCache>
                <c:ptCount val="1"/>
                <c:pt idx="0">
                  <c:v>Brutto HV těžební činnost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'Grafy '!$T$1:$X$1</c:f>
              <c:numCache/>
            </c:numRef>
          </c:cat>
          <c:val>
            <c:numRef>
              <c:f>'Grafy '!$T$4:$X$4</c:f>
              <c:numCache/>
            </c:numRef>
          </c:val>
          <c:shape val="box"/>
        </c:ser>
        <c:shape val="box"/>
        <c:axId val="28909501"/>
        <c:axId val="58858918"/>
      </c:bar3DChart>
      <c:catAx>
        <c:axId val="28909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58918"/>
        <c:crosses val="autoZero"/>
        <c:auto val="1"/>
        <c:lblOffset val="100"/>
        <c:tickLblSkip val="1"/>
        <c:noMultiLvlLbl val="0"/>
      </c:catAx>
      <c:valAx>
        <c:axId val="58858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09501"/>
        <c:crossesAt val="1"/>
        <c:crossBetween val="between"/>
        <c:dispUnits/>
        <c:majorUnit val="25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6675"/>
          <c:w val="0.89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- vývoj zdrojů 2014 -201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2925"/>
          <c:w val="0.919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'Grafy '!$H$2</c:f>
              <c:strCache>
                <c:ptCount val="1"/>
                <c:pt idx="0">
                  <c:v>Vlastní výnosy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'Grafy '!$I$1:$M$1</c:f>
              <c:numCache/>
            </c:numRef>
          </c:cat>
          <c:val>
            <c:numRef>
              <c:f>'Grafy '!$I$2:$M$2</c:f>
              <c:numCache/>
            </c:numRef>
          </c:val>
        </c:ser>
        <c:ser>
          <c:idx val="1"/>
          <c:order val="1"/>
          <c:tx>
            <c:strRef>
              <c:f>'Grafy '!$H$3</c:f>
              <c:strCache>
                <c:ptCount val="1"/>
                <c:pt idx="0">
                  <c:v>Příspěvek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'Grafy '!$I$1:$M$1</c:f>
              <c:numCache/>
            </c:numRef>
          </c:cat>
          <c:val>
            <c:numRef>
              <c:f>'Grafy '!$I$3:$M$3</c:f>
              <c:numCache/>
            </c:numRef>
          </c:val>
        </c:ser>
        <c:ser>
          <c:idx val="2"/>
          <c:order val="2"/>
          <c:tx>
            <c:strRef>
              <c:f>'Grafy '!$H$4</c:f>
              <c:strCache>
                <c:ptCount val="1"/>
                <c:pt idx="0">
                  <c:v>Isprofin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'Grafy '!$I$1:$M$1</c:f>
              <c:numCache/>
            </c:numRef>
          </c:cat>
          <c:val>
            <c:numRef>
              <c:f>'Grafy '!$I$4:$M$4</c:f>
              <c:numCache/>
            </c:numRef>
          </c:val>
        </c:ser>
        <c:ser>
          <c:idx val="3"/>
          <c:order val="3"/>
          <c:tx>
            <c:strRef>
              <c:f>'Grafy '!$H$5</c:f>
              <c:strCache>
                <c:ptCount val="1"/>
                <c:pt idx="0">
                  <c:v>Ostatní dotace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'Grafy '!$I$1:$M$1</c:f>
              <c:numCache/>
            </c:numRef>
          </c:cat>
          <c:val>
            <c:numRef>
              <c:f>'Grafy '!$I$5:$M$5</c:f>
              <c:numCache/>
            </c:numRef>
          </c:val>
        </c:ser>
        <c:overlap val="100"/>
        <c:axId val="36121065"/>
        <c:axId val="56654130"/>
      </c:barChart>
      <c:catAx>
        <c:axId val="36121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654130"/>
        <c:crosses val="autoZero"/>
        <c:auto val="1"/>
        <c:lblOffset val="100"/>
        <c:tickLblSkip val="1"/>
        <c:noMultiLvlLbl val="0"/>
      </c:catAx>
      <c:valAx>
        <c:axId val="56654130"/>
        <c:scaling>
          <c:orientation val="minMax"/>
          <c:max val="500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21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95425"/>
          <c:w val="0.508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vývoj vybraných výnosů 2014 - 2017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view3D>
      <c:rotX val="15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745"/>
          <c:w val="0.9697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'Grafy '!$I$1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'!$H$7:$H$15</c:f>
              <c:strCache/>
            </c:strRef>
          </c:cat>
          <c:val>
            <c:numRef>
              <c:f>'Grafy '!$I$7:$I$15</c:f>
              <c:numCache/>
            </c:numRef>
          </c:val>
          <c:shape val="box"/>
        </c:ser>
        <c:ser>
          <c:idx val="1"/>
          <c:order val="1"/>
          <c:tx>
            <c:strRef>
              <c:f>'Grafy '!$J$1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'!$H$7:$H$15</c:f>
              <c:strCache/>
            </c:strRef>
          </c:cat>
          <c:val>
            <c:numRef>
              <c:f>'Grafy '!$J$7:$J$15</c:f>
              <c:numCache/>
            </c:numRef>
          </c:val>
          <c:shape val="box"/>
        </c:ser>
        <c:ser>
          <c:idx val="2"/>
          <c:order val="2"/>
          <c:tx>
            <c:strRef>
              <c:f>'Grafy '!$K$1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'!$H$7:$H$15</c:f>
              <c:strCache/>
            </c:strRef>
          </c:cat>
          <c:val>
            <c:numRef>
              <c:f>'Grafy '!$K$7:$K$15</c:f>
              <c:numCache/>
            </c:numRef>
          </c:val>
          <c:shape val="box"/>
        </c:ser>
        <c:ser>
          <c:idx val="3"/>
          <c:order val="3"/>
          <c:tx>
            <c:strRef>
              <c:f>'Grafy '!$L$1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'!$H$7:$H$15</c:f>
              <c:strCache/>
            </c:strRef>
          </c:cat>
          <c:val>
            <c:numRef>
              <c:f>'Grafy '!$L$7:$L$15</c:f>
              <c:numCache/>
            </c:numRef>
          </c:val>
          <c:shape val="box"/>
        </c:ser>
        <c:ser>
          <c:idx val="4"/>
          <c:order val="4"/>
          <c:tx>
            <c:strRef>
              <c:f>'Grafy '!$M$1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'Grafy '!$H$7:$H$15</c:f>
              <c:strCache/>
            </c:strRef>
          </c:cat>
          <c:val>
            <c:numRef>
              <c:f>'Grafy '!$M$7:$M$15</c:f>
              <c:numCache/>
            </c:numRef>
          </c:val>
          <c:shape val="box"/>
        </c:ser>
        <c:shape val="box"/>
        <c:axId val="40125123"/>
        <c:axId val="25581788"/>
      </c:bar3D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81788"/>
        <c:crosses val="autoZero"/>
        <c:auto val="1"/>
        <c:lblOffset val="100"/>
        <c:tickLblSkip val="1"/>
        <c:noMultiLvlLbl val="0"/>
      </c:catAx>
      <c:valAx>
        <c:axId val="25581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125123"/>
        <c:crossesAt val="1"/>
        <c:crossBetween val="between"/>
        <c:dispUnits/>
        <c:majorUnit val="2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25"/>
          <c:y val="0.953"/>
          <c:w val="0.33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vybrané výnosy 2014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975"/>
          <c:w val="0.8455"/>
          <c:h val="0.737"/>
        </c:manualLayout>
      </c:layout>
      <c:pie3DChart>
        <c:varyColors val="1"/>
        <c:ser>
          <c:idx val="0"/>
          <c:order val="0"/>
          <c:tx>
            <c:strRef>
              <c:f>'Grafy '!$I$1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'!$H$7:$H$15</c:f>
              <c:strCache/>
            </c:strRef>
          </c:cat>
          <c:val>
            <c:numRef>
              <c:f>'Grafy '!$I$7:$I$15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čerpání nákladů 2015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94"/>
          <c:w val="0.8475"/>
          <c:h val="0.7635"/>
        </c:manualLayout>
      </c:layout>
      <c:pie3DChart>
        <c:varyColors val="1"/>
        <c:ser>
          <c:idx val="0"/>
          <c:order val="0"/>
          <c:tx>
            <c:strRef>
              <c:f>'Grafy 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'!$A$3:$A$13</c:f>
              <c:strCache/>
            </c:strRef>
          </c:cat>
          <c:val>
            <c:numRef>
              <c:f>'Grafy '!$C$3:$C$13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čerpání nákladů 2016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0225"/>
          <c:w val="0.848"/>
          <c:h val="0.76325"/>
        </c:manualLayout>
      </c:layout>
      <c:pie3DChart>
        <c:varyColors val="1"/>
        <c:ser>
          <c:idx val="0"/>
          <c:order val="0"/>
          <c:tx>
            <c:strRef>
              <c:f>'Grafy 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'!$A$3:$A$13</c:f>
              <c:strCache/>
            </c:strRef>
          </c:cat>
          <c:val>
            <c:numRef>
              <c:f>'Grafy '!$D$3:$D$13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čerpání nákladů 2017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2025"/>
          <c:w val="0.8485"/>
          <c:h val="0.76275"/>
        </c:manualLayout>
      </c:layout>
      <c:pie3DChart>
        <c:varyColors val="1"/>
        <c:ser>
          <c:idx val="0"/>
          <c:order val="0"/>
          <c:tx>
            <c:strRef>
              <c:f>'Grafy 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[NÁZEV KATEGORIE]
[PROCENTO]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'!$A$3:$A$13</c:f>
              <c:strCache/>
            </c:strRef>
          </c:cat>
          <c:val>
            <c:numRef>
              <c:f>'Grafy '!$E$3:$E$13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čerpání nákladů 2018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"/>
          <c:y val="0.187"/>
          <c:w val="0.84775"/>
          <c:h val="0.76275"/>
        </c:manualLayout>
      </c:layout>
      <c:pie3DChart>
        <c:varyColors val="1"/>
        <c:ser>
          <c:idx val="0"/>
          <c:order val="0"/>
          <c:tx>
            <c:strRef>
              <c:f>'Grafy 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'!$A$3:$A$13</c:f>
              <c:strCache/>
            </c:strRef>
          </c:cat>
          <c:val>
            <c:numRef>
              <c:f>'Grafy '!$F$3:$F$13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KRNAP - vybrané výnosy 2015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695"/>
          <c:w val="0.8455"/>
          <c:h val="0.73675"/>
        </c:manualLayout>
      </c:layout>
      <c:pie3DChart>
        <c:varyColors val="1"/>
        <c:ser>
          <c:idx val="0"/>
          <c:order val="0"/>
          <c:tx>
            <c:strRef>
              <c:f>'Grafy '!$J$1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'Grafy '!$H$7:$H$15</c:f>
              <c:strCache/>
            </c:strRef>
          </c:cat>
          <c:val>
            <c:numRef>
              <c:f>'Grafy '!$J$7:$J$15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95250</xdr:rowOff>
    </xdr:from>
    <xdr:to>
      <xdr:col>1</xdr:col>
      <xdr:colOff>1485900</xdr:colOff>
      <xdr:row>42</xdr:row>
      <xdr:rowOff>9525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9525" y="552450"/>
          <a:ext cx="6419850" cy="753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609600</xdr:colOff>
      <xdr:row>43</xdr:row>
      <xdr:rowOff>28575</xdr:rowOff>
    </xdr:to>
    <xdr:graphicFrame>
      <xdr:nvGraphicFramePr>
        <xdr:cNvPr id="1" name="Graf 1"/>
        <xdr:cNvGraphicFramePr/>
      </xdr:nvGraphicFramePr>
      <xdr:xfrm>
        <a:off x="0" y="3238500"/>
        <a:ext cx="49815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75</xdr:row>
      <xdr:rowOff>9525</xdr:rowOff>
    </xdr:from>
    <xdr:to>
      <xdr:col>6</xdr:col>
      <xdr:colOff>19050</xdr:colOff>
      <xdr:row>105</xdr:row>
      <xdr:rowOff>9525</xdr:rowOff>
    </xdr:to>
    <xdr:graphicFrame>
      <xdr:nvGraphicFramePr>
        <xdr:cNvPr id="2" name="Graf 2"/>
        <xdr:cNvGraphicFramePr/>
      </xdr:nvGraphicFramePr>
      <xdr:xfrm>
        <a:off x="0" y="14297025"/>
        <a:ext cx="64865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75</xdr:row>
      <xdr:rowOff>0</xdr:rowOff>
    </xdr:from>
    <xdr:to>
      <xdr:col>15</xdr:col>
      <xdr:colOff>171450</xdr:colOff>
      <xdr:row>105</xdr:row>
      <xdr:rowOff>47625</xdr:rowOff>
    </xdr:to>
    <xdr:graphicFrame>
      <xdr:nvGraphicFramePr>
        <xdr:cNvPr id="3" name="Graf 3"/>
        <xdr:cNvGraphicFramePr/>
      </xdr:nvGraphicFramePr>
      <xdr:xfrm>
        <a:off x="7077075" y="14287500"/>
        <a:ext cx="6448425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154</xdr:row>
      <xdr:rowOff>161925</xdr:rowOff>
    </xdr:from>
    <xdr:to>
      <xdr:col>6</xdr:col>
      <xdr:colOff>9525</xdr:colOff>
      <xdr:row>181</xdr:row>
      <xdr:rowOff>171450</xdr:rowOff>
    </xdr:to>
    <xdr:graphicFrame>
      <xdr:nvGraphicFramePr>
        <xdr:cNvPr id="4" name="Graf 4"/>
        <xdr:cNvGraphicFramePr/>
      </xdr:nvGraphicFramePr>
      <xdr:xfrm>
        <a:off x="38100" y="29498925"/>
        <a:ext cx="6438900" cy="515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923925</xdr:colOff>
      <xdr:row>17</xdr:row>
      <xdr:rowOff>0</xdr:rowOff>
    </xdr:from>
    <xdr:to>
      <xdr:col>10</xdr:col>
      <xdr:colOff>514350</xdr:colOff>
      <xdr:row>43</xdr:row>
      <xdr:rowOff>28575</xdr:rowOff>
    </xdr:to>
    <xdr:graphicFrame>
      <xdr:nvGraphicFramePr>
        <xdr:cNvPr id="5" name="Graf 5"/>
        <xdr:cNvGraphicFramePr/>
      </xdr:nvGraphicFramePr>
      <xdr:xfrm>
        <a:off x="5295900" y="3238500"/>
        <a:ext cx="5238750" cy="4981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19</xdr:col>
      <xdr:colOff>466725</xdr:colOff>
      <xdr:row>43</xdr:row>
      <xdr:rowOff>28575</xdr:rowOff>
    </xdr:to>
    <xdr:graphicFrame>
      <xdr:nvGraphicFramePr>
        <xdr:cNvPr id="6" name="Graf 6"/>
        <xdr:cNvGraphicFramePr/>
      </xdr:nvGraphicFramePr>
      <xdr:xfrm>
        <a:off x="10734675" y="3238500"/>
        <a:ext cx="5105400" cy="4981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609600</xdr:colOff>
      <xdr:row>72</xdr:row>
      <xdr:rowOff>28575</xdr:rowOff>
    </xdr:to>
    <xdr:graphicFrame>
      <xdr:nvGraphicFramePr>
        <xdr:cNvPr id="7" name="Graf 7"/>
        <xdr:cNvGraphicFramePr/>
      </xdr:nvGraphicFramePr>
      <xdr:xfrm>
        <a:off x="0" y="8572500"/>
        <a:ext cx="4981575" cy="517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952500</xdr:colOff>
      <xdr:row>44</xdr:row>
      <xdr:rowOff>161925</xdr:rowOff>
    </xdr:from>
    <xdr:to>
      <xdr:col>10</xdr:col>
      <xdr:colOff>552450</xdr:colOff>
      <xdr:row>72</xdr:row>
      <xdr:rowOff>19050</xdr:rowOff>
    </xdr:to>
    <xdr:graphicFrame>
      <xdr:nvGraphicFramePr>
        <xdr:cNvPr id="8" name="Graf 8"/>
        <xdr:cNvGraphicFramePr/>
      </xdr:nvGraphicFramePr>
      <xdr:xfrm>
        <a:off x="5324475" y="8543925"/>
        <a:ext cx="5248275" cy="5191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571500</xdr:colOff>
      <xdr:row>154</xdr:row>
      <xdr:rowOff>161925</xdr:rowOff>
    </xdr:from>
    <xdr:to>
      <xdr:col>15</xdr:col>
      <xdr:colOff>171450</xdr:colOff>
      <xdr:row>181</xdr:row>
      <xdr:rowOff>171450</xdr:rowOff>
    </xdr:to>
    <xdr:graphicFrame>
      <xdr:nvGraphicFramePr>
        <xdr:cNvPr id="9" name="Graf 9"/>
        <xdr:cNvGraphicFramePr/>
      </xdr:nvGraphicFramePr>
      <xdr:xfrm>
        <a:off x="7038975" y="29498925"/>
        <a:ext cx="6486525" cy="5153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600075</xdr:colOff>
      <xdr:row>155</xdr:row>
      <xdr:rowOff>9525</xdr:rowOff>
    </xdr:from>
    <xdr:to>
      <xdr:col>26</xdr:col>
      <xdr:colOff>514350</xdr:colOff>
      <xdr:row>182</xdr:row>
      <xdr:rowOff>28575</xdr:rowOff>
    </xdr:to>
    <xdr:graphicFrame>
      <xdr:nvGraphicFramePr>
        <xdr:cNvPr id="10" name="Graf 10"/>
        <xdr:cNvGraphicFramePr/>
      </xdr:nvGraphicFramePr>
      <xdr:xfrm>
        <a:off x="13954125" y="29537025"/>
        <a:ext cx="6715125" cy="5162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184</xdr:row>
      <xdr:rowOff>28575</xdr:rowOff>
    </xdr:from>
    <xdr:to>
      <xdr:col>5</xdr:col>
      <xdr:colOff>1047750</xdr:colOff>
      <xdr:row>210</xdr:row>
      <xdr:rowOff>38100</xdr:rowOff>
    </xdr:to>
    <xdr:graphicFrame>
      <xdr:nvGraphicFramePr>
        <xdr:cNvPr id="11" name="Graf 11"/>
        <xdr:cNvGraphicFramePr/>
      </xdr:nvGraphicFramePr>
      <xdr:xfrm>
        <a:off x="28575" y="35080575"/>
        <a:ext cx="6438900" cy="4962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600075</xdr:colOff>
      <xdr:row>184</xdr:row>
      <xdr:rowOff>9525</xdr:rowOff>
    </xdr:from>
    <xdr:to>
      <xdr:col>15</xdr:col>
      <xdr:colOff>190500</xdr:colOff>
      <xdr:row>210</xdr:row>
      <xdr:rowOff>28575</xdr:rowOff>
    </xdr:to>
    <xdr:graphicFrame>
      <xdr:nvGraphicFramePr>
        <xdr:cNvPr id="12" name="Graf 12"/>
        <xdr:cNvGraphicFramePr/>
      </xdr:nvGraphicFramePr>
      <xdr:xfrm>
        <a:off x="7067550" y="35061525"/>
        <a:ext cx="6477000" cy="4972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6</xdr:col>
      <xdr:colOff>200025</xdr:colOff>
      <xdr:row>149</xdr:row>
      <xdr:rowOff>38100</xdr:rowOff>
    </xdr:to>
    <xdr:graphicFrame>
      <xdr:nvGraphicFramePr>
        <xdr:cNvPr id="13" name="Graf 13"/>
        <xdr:cNvGraphicFramePr/>
      </xdr:nvGraphicFramePr>
      <xdr:xfrm>
        <a:off x="0" y="20574000"/>
        <a:ext cx="6667500" cy="7848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3</xdr:col>
      <xdr:colOff>1533525</xdr:colOff>
      <xdr:row>33</xdr:row>
      <xdr:rowOff>104775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3362325"/>
          <a:ext cx="556260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KOMENTÁŘ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dopad převisu účetních odpisů nad daňovými na hospodaření v rámci daňového řízení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84</xdr:row>
      <xdr:rowOff>0</xdr:rowOff>
    </xdr:from>
    <xdr:to>
      <xdr:col>11</xdr:col>
      <xdr:colOff>990600</xdr:colOff>
      <xdr:row>108</xdr:row>
      <xdr:rowOff>171450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71450" y="16678275"/>
          <a:ext cx="14658975" cy="474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KOMENTÁŘ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57150</xdr:rowOff>
    </xdr:from>
    <xdr:to>
      <xdr:col>6</xdr:col>
      <xdr:colOff>266700</xdr:colOff>
      <xdr:row>28</xdr:row>
      <xdr:rowOff>66675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7391400" y="1190625"/>
          <a:ext cx="857250" cy="4848225"/>
        </a:xfrm>
        <a:prstGeom prst="rect">
          <a:avLst/>
        </a:prstGeom>
        <a:solidFill>
          <a:srgbClr val="ED7D3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ondr.KRNAP\Documents\PLAN\Rozbory_dle_M&#381;P\2017\II_Q\Final_II_Q_2017\1_P&#345;&#237;loha%20&#269;.%207_Rozbor%20hospoda&#345;en&#237;%20_SPO_II.Q_2017_Krna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Pod&#345;&#237;zen&#233;%20organizace\ORGANIZACE\KRNAP\Rok_2017\Rozbory\IV.Q.2017\Rozbor_KRNAP_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Pod&#345;&#237;zen&#233;%20organizace\ORGANIZACE\KRNAP\Rok_2016\Rozbory%20IV.Q.%202016\1_6_Pln&#283;n&#237;_rozpo&#269;tu_v&#253;nosy%20a%20n&#225;klady%20PO_Krnap_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Pod&#345;&#237;zen&#233;%20organizace\ORGANIZACE\KRNAP\Zpen&#283;&#382;en&#237;%20d&#345;evn&#237;%20hmoty\pr&#367;m&#283;rn&#233;%20zpen&#283;&#382;en&#237;%20M&#382;p%20za%20cel&#253;%20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Pod&#345;&#237;zen&#233;%20organizace\ORGANIZACE\KRNAP\Rok_2017\Rozbory\KUMULACE_Rozbor%20hospoda&#345;en&#237;%20_SPO_rok_2017_Krnap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Pod&#345;&#237;zen&#233;%20organizace\Strategie%20financov&#225;n&#237;%20NP\duben_2018\Statistika%20-%20n&#225;rodn&#237;%20parky_r&#353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Pod&#345;&#237;zen&#233;%20organizace\ORGANIZACE\NP%20&#352;umava\Rok_2018\Rozbory\I.Q.2018\2018_Sm&#283;rnice%20&#269;.%206%20-p&#345;&#237;loha%20&#269;.%207_Rozbor%20hospoda&#345;en&#237;%20_SPO_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řehled o rozpočtu_HČ"/>
      <sheetName val="komentář"/>
      <sheetName val="Vybrané položky"/>
      <sheetName val="ICT"/>
      <sheetName val="ZPC"/>
      <sheetName val="Zpeněžení DřHm"/>
      <sheetName val="Mzdový přehled "/>
      <sheetName val="Plnění rozpočtu a očekávka"/>
      <sheetName val="Finanční majetek"/>
      <sheetName val="Odpisy"/>
      <sheetName val="Plnění rozpočtu_JČ"/>
      <sheetName val="Investice Projekty"/>
      <sheetName val="Projekty a investice"/>
      <sheetName val="náklady dle čiností"/>
      <sheetName val="poznámky"/>
    </sheetNames>
    <sheetDataSet>
      <sheetData sheetId="6">
        <row r="2">
          <cell r="A2" t="str">
            <v>PRŮMĚRNÉ ZPENĚŽENÍ PRODEJE DŘEVNÍ HMOTY</v>
          </cell>
        </row>
      </sheetData>
      <sheetData sheetId="8">
        <row r="2">
          <cell r="A2" t="str">
            <v>PLNĚNÍ ROZPOČTU A OČEKÁVKA - HLAVNÍ ČINNOST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řehled o rozpočtu_HČ"/>
      <sheetName val="komentář"/>
      <sheetName val="Vybrané položky"/>
      <sheetName val="ICT"/>
      <sheetName val="ZPC"/>
      <sheetName val="Zpeněžení DřHm"/>
      <sheetName val="Mzdový přehled "/>
      <sheetName val="Plnění rozpočtu a očekávka"/>
      <sheetName val="Finanční majetek"/>
      <sheetName val="Odpisy"/>
      <sheetName val="Plnění rozpočtu_JČ"/>
      <sheetName val="Investice Projekty"/>
      <sheetName val="Projekty a investice"/>
      <sheetName val="náklady dle čiností"/>
      <sheetName val="Výpočty"/>
      <sheetName val="Přehled"/>
      <sheetName val="MAXIMA"/>
      <sheetName val="poznámky"/>
    </sheetNames>
    <sheetDataSet>
      <sheetData sheetId="0">
        <row r="10">
          <cell r="E10">
            <v>2017</v>
          </cell>
        </row>
      </sheetData>
      <sheetData sheetId="1">
        <row r="9">
          <cell r="E9">
            <v>17469510</v>
          </cell>
          <cell r="F9">
            <v>3706329</v>
          </cell>
          <cell r="G9">
            <v>13763181</v>
          </cell>
        </row>
        <row r="16">
          <cell r="E16">
            <v>17962535</v>
          </cell>
          <cell r="F16">
            <v>964104</v>
          </cell>
          <cell r="G16">
            <v>16998431</v>
          </cell>
        </row>
        <row r="20">
          <cell r="E20">
            <v>105222761</v>
          </cell>
          <cell r="F20">
            <v>30845223</v>
          </cell>
          <cell r="G20">
            <v>74377538</v>
          </cell>
        </row>
        <row r="59">
          <cell r="E59">
            <v>3338649</v>
          </cell>
          <cell r="F59">
            <v>0</v>
          </cell>
          <cell r="G59">
            <v>3338649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 Plnění rozpočtu HČ"/>
      <sheetName val="1.2 Plnění rozpočtu JČ"/>
      <sheetName val="2. Mzdový přehled PO"/>
      <sheetName val="3.Odpisový plán"/>
      <sheetName val="4.1 Zpeněžení DřHm_JEH"/>
      <sheetName val="4.2 Zpeněžení DřHm_LIST"/>
    </sheetNames>
    <sheetDataSet>
      <sheetData sheetId="0">
        <row r="12">
          <cell r="D12">
            <v>12275050.66</v>
          </cell>
        </row>
        <row r="13">
          <cell r="D13">
            <v>5435747.71</v>
          </cell>
        </row>
        <row r="14">
          <cell r="D14">
            <v>0</v>
          </cell>
        </row>
        <row r="15">
          <cell r="D15">
            <v>2602540.08</v>
          </cell>
        </row>
        <row r="16">
          <cell r="D16">
            <v>0</v>
          </cell>
        </row>
        <row r="17">
          <cell r="D17">
            <v>-344642.39</v>
          </cell>
        </row>
        <row r="18">
          <cell r="D18">
            <v>-736371.56</v>
          </cell>
        </row>
        <row r="19">
          <cell r="D19">
            <v>20199940.9</v>
          </cell>
        </row>
        <row r="20">
          <cell r="D20">
            <v>3655501.22</v>
          </cell>
        </row>
        <row r="21">
          <cell r="D21">
            <v>291854.65</v>
          </cell>
        </row>
        <row r="22">
          <cell r="D22">
            <v>-1155.4</v>
          </cell>
        </row>
        <row r="23">
          <cell r="D23">
            <v>110523891.52</v>
          </cell>
        </row>
        <row r="24">
          <cell r="D24">
            <v>76742228</v>
          </cell>
        </row>
        <row r="25">
          <cell r="D25">
            <v>25913833</v>
          </cell>
        </row>
        <row r="26">
          <cell r="D26">
            <v>502179</v>
          </cell>
        </row>
        <row r="27">
          <cell r="D27">
            <v>2789798.25</v>
          </cell>
        </row>
        <row r="28">
          <cell r="D28">
            <v>0</v>
          </cell>
        </row>
        <row r="29">
          <cell r="D29">
            <v>276680</v>
          </cell>
        </row>
        <row r="30">
          <cell r="D30">
            <v>367876</v>
          </cell>
        </row>
        <row r="31">
          <cell r="D31">
            <v>123673.44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116561.53</v>
          </cell>
        </row>
        <row r="36">
          <cell r="D36">
            <v>46016.84</v>
          </cell>
        </row>
        <row r="37">
          <cell r="D37">
            <v>1736436</v>
          </cell>
        </row>
        <row r="38">
          <cell r="D38">
            <v>35925096</v>
          </cell>
        </row>
        <row r="39">
          <cell r="D39">
            <v>0</v>
          </cell>
        </row>
        <row r="40">
          <cell r="D40">
            <v>3991036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1325222.5</v>
          </cell>
        </row>
        <row r="44">
          <cell r="D44">
            <v>0</v>
          </cell>
        </row>
        <row r="45">
          <cell r="D45">
            <v>4948474.21</v>
          </cell>
        </row>
        <row r="46">
          <cell r="D46">
            <v>23099393.12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758981.12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0</v>
          </cell>
        </row>
        <row r="55">
          <cell r="D55">
            <v>0</v>
          </cell>
        </row>
        <row r="57">
          <cell r="D57">
            <v>10260419.23</v>
          </cell>
        </row>
        <row r="58">
          <cell r="D58">
            <v>811251</v>
          </cell>
        </row>
        <row r="61">
          <cell r="D61">
            <v>146000995.2</v>
          </cell>
        </row>
        <row r="62">
          <cell r="D62">
            <v>4655361.66</v>
          </cell>
        </row>
        <row r="63">
          <cell r="D63">
            <v>15490917.75</v>
          </cell>
        </row>
        <row r="64">
          <cell r="D64">
            <v>2360108.99</v>
          </cell>
        </row>
        <row r="65">
          <cell r="D65">
            <v>43768.6</v>
          </cell>
        </row>
        <row r="66">
          <cell r="D66">
            <v>168791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34996.4</v>
          </cell>
        </row>
        <row r="70">
          <cell r="D70">
            <v>0</v>
          </cell>
        </row>
        <row r="71">
          <cell r="D71">
            <v>2852710.46</v>
          </cell>
        </row>
        <row r="72">
          <cell r="D72">
            <v>0</v>
          </cell>
        </row>
        <row r="73">
          <cell r="D73">
            <v>18109649.54</v>
          </cell>
        </row>
        <row r="74">
          <cell r="D74">
            <v>5299952.25</v>
          </cell>
        </row>
        <row r="76">
          <cell r="D76">
            <v>0</v>
          </cell>
        </row>
        <row r="77">
          <cell r="D77">
            <v>366867.59</v>
          </cell>
        </row>
        <row r="78">
          <cell r="D78">
            <v>1280686.94</v>
          </cell>
        </row>
        <row r="79">
          <cell r="D79">
            <v>3205561</v>
          </cell>
        </row>
        <row r="80">
          <cell r="D8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řehled o rozpočtu_HČ"/>
      <sheetName val="komentář"/>
      <sheetName val="Vybrané položky"/>
      <sheetName val="ICT"/>
      <sheetName val="ZPC"/>
      <sheetName val="Zpeněžení DřHm"/>
      <sheetName val="Mzdový přehled "/>
      <sheetName val="Plnění rozpočtu a očekávka"/>
      <sheetName val="Finanční majetek"/>
      <sheetName val="Odpisy"/>
      <sheetName val="Plnění rozpočtu_JČ"/>
      <sheetName val="Investice Projekty"/>
      <sheetName val="Projekty a investice"/>
      <sheetName val="náklady dle čiností"/>
      <sheetName val="poznámky"/>
    </sheetNames>
    <sheetDataSet>
      <sheetData sheetId="6">
        <row r="5">
          <cell r="D5">
            <v>5077</v>
          </cell>
        </row>
        <row r="6">
          <cell r="D6">
            <v>93586</v>
          </cell>
        </row>
        <row r="7">
          <cell r="D7">
            <v>93430</v>
          </cell>
        </row>
        <row r="8">
          <cell r="D8">
            <v>5233</v>
          </cell>
        </row>
        <row r="13">
          <cell r="D13">
            <v>3973620</v>
          </cell>
        </row>
        <row r="14">
          <cell r="D14">
            <v>42299811</v>
          </cell>
        </row>
        <row r="15">
          <cell r="D15">
            <v>291444</v>
          </cell>
        </row>
        <row r="16">
          <cell r="D16">
            <v>144604</v>
          </cell>
        </row>
        <row r="17">
          <cell r="D17">
            <v>4403557</v>
          </cell>
        </row>
        <row r="18">
          <cell r="D18">
            <v>834581</v>
          </cell>
        </row>
        <row r="19">
          <cell r="D19">
            <v>2846524</v>
          </cell>
        </row>
        <row r="20">
          <cell r="D20">
            <v>925780</v>
          </cell>
        </row>
        <row r="21">
          <cell r="D21">
            <v>3708257</v>
          </cell>
        </row>
        <row r="22">
          <cell r="D22">
            <v>5634079</v>
          </cell>
        </row>
        <row r="24">
          <cell r="D24">
            <v>1388968</v>
          </cell>
        </row>
        <row r="25">
          <cell r="D25">
            <v>0</v>
          </cell>
        </row>
        <row r="28">
          <cell r="D28">
            <v>143478800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řehled o rozpočtu_HČ"/>
      <sheetName val="komentář"/>
      <sheetName val="Vybrané položky"/>
      <sheetName val="ICT"/>
      <sheetName val="ZPC"/>
      <sheetName val="Zpeněžení DřHm"/>
      <sheetName val="Mzdový přehled "/>
      <sheetName val="Plnění rozpočtu a očekávka"/>
      <sheetName val="Finanční majetek"/>
      <sheetName val="Odpisy"/>
      <sheetName val="Plnění rozpočtu_JČ"/>
      <sheetName val="Investice Projekty"/>
      <sheetName val="Projekty a investice"/>
      <sheetName val="náklady dle čiností"/>
      <sheetName val="poznámky"/>
    </sheetNames>
    <sheetDataSet>
      <sheetData sheetId="0">
        <row r="10">
          <cell r="E10">
            <v>2017</v>
          </cell>
        </row>
      </sheetData>
      <sheetData sheetId="1">
        <row r="5">
          <cell r="D5" t="str">
            <v>skutečnost 2015</v>
          </cell>
        </row>
        <row r="7">
          <cell r="D7">
            <v>360652642</v>
          </cell>
        </row>
        <row r="8">
          <cell r="D8">
            <v>350329718</v>
          </cell>
        </row>
        <row r="9">
          <cell r="D9">
            <v>17469510</v>
          </cell>
        </row>
        <row r="10">
          <cell r="D10">
            <v>5294483</v>
          </cell>
        </row>
        <row r="11">
          <cell r="D11">
            <v>0</v>
          </cell>
        </row>
        <row r="12">
          <cell r="D12">
            <v>2256675</v>
          </cell>
        </row>
        <row r="13">
          <cell r="D13">
            <v>0</v>
          </cell>
        </row>
        <row r="14">
          <cell r="D14">
            <v>-169729</v>
          </cell>
        </row>
        <row r="15">
          <cell r="D15">
            <v>-2203373</v>
          </cell>
        </row>
        <row r="16">
          <cell r="D16">
            <v>17962535</v>
          </cell>
        </row>
        <row r="17">
          <cell r="D17">
            <v>3519694</v>
          </cell>
        </row>
        <row r="18">
          <cell r="D18">
            <v>305113</v>
          </cell>
        </row>
        <row r="19">
          <cell r="D19">
            <v>0</v>
          </cell>
        </row>
        <row r="20">
          <cell r="D20">
            <v>105222761</v>
          </cell>
        </row>
        <row r="21">
          <cell r="D21">
            <v>83888397</v>
          </cell>
        </row>
        <row r="22">
          <cell r="D22">
            <v>28250014</v>
          </cell>
        </row>
        <row r="23">
          <cell r="D23">
            <v>538880</v>
          </cell>
        </row>
        <row r="24">
          <cell r="D24">
            <v>5311791</v>
          </cell>
        </row>
        <row r="25">
          <cell r="D25">
            <v>0</v>
          </cell>
        </row>
        <row r="26">
          <cell r="D26">
            <v>318252</v>
          </cell>
        </row>
        <row r="27">
          <cell r="D27">
            <v>557143</v>
          </cell>
        </row>
        <row r="28">
          <cell r="D28">
            <v>105325</v>
          </cell>
        </row>
        <row r="29">
          <cell r="D29">
            <v>0</v>
          </cell>
        </row>
        <row r="30">
          <cell r="D30">
            <v>496</v>
          </cell>
        </row>
        <row r="31">
          <cell r="D31">
            <v>0</v>
          </cell>
        </row>
        <row r="32">
          <cell r="D32">
            <v>71303</v>
          </cell>
        </row>
        <row r="33">
          <cell r="D33">
            <v>388662</v>
          </cell>
        </row>
        <row r="34">
          <cell r="D34">
            <v>0</v>
          </cell>
        </row>
        <row r="35">
          <cell r="D35">
            <v>40630967</v>
          </cell>
        </row>
        <row r="36">
          <cell r="D36">
            <v>0</v>
          </cell>
        </row>
        <row r="37">
          <cell r="D37">
            <v>2786556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415932</v>
          </cell>
        </row>
        <row r="41">
          <cell r="D41">
            <v>3207</v>
          </cell>
        </row>
        <row r="42">
          <cell r="D42">
            <v>9070278</v>
          </cell>
        </row>
        <row r="43">
          <cell r="D43">
            <v>28334846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2058815</v>
          </cell>
        </row>
        <row r="48">
          <cell r="D48">
            <v>0</v>
          </cell>
        </row>
        <row r="49">
          <cell r="D49">
            <v>0</v>
          </cell>
        </row>
        <row r="54">
          <cell r="D54">
            <v>8809019</v>
          </cell>
        </row>
        <row r="55">
          <cell r="D55">
            <v>-544910</v>
          </cell>
        </row>
        <row r="56">
          <cell r="D56">
            <v>360657184.58</v>
          </cell>
        </row>
        <row r="57">
          <cell r="D57">
            <v>181584934</v>
          </cell>
        </row>
        <row r="58">
          <cell r="D58">
            <v>144909898</v>
          </cell>
        </row>
        <row r="59">
          <cell r="D59">
            <v>3338649</v>
          </cell>
        </row>
        <row r="60">
          <cell r="D60">
            <v>16537841</v>
          </cell>
        </row>
        <row r="61">
          <cell r="D61">
            <v>1977555</v>
          </cell>
        </row>
        <row r="62">
          <cell r="D62">
            <v>41620</v>
          </cell>
        </row>
        <row r="63">
          <cell r="D63">
            <v>248230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17110</v>
          </cell>
        </row>
        <row r="67">
          <cell r="D67">
            <v>0</v>
          </cell>
        </row>
        <row r="68">
          <cell r="D68">
            <v>50053</v>
          </cell>
        </row>
        <row r="69">
          <cell r="D69">
            <v>0</v>
          </cell>
        </row>
        <row r="70">
          <cell r="D70">
            <v>3760052</v>
          </cell>
        </row>
        <row r="71">
          <cell r="D71">
            <v>10703926</v>
          </cell>
        </row>
        <row r="73">
          <cell r="D73">
            <v>0</v>
          </cell>
        </row>
        <row r="74">
          <cell r="D74">
            <v>29111</v>
          </cell>
        </row>
        <row r="75">
          <cell r="D75">
            <v>661736</v>
          </cell>
        </row>
        <row r="76">
          <cell r="D76">
            <v>363670</v>
          </cell>
        </row>
        <row r="77">
          <cell r="D77">
            <v>0</v>
          </cell>
        </row>
        <row r="80">
          <cell r="D80">
            <v>108968464</v>
          </cell>
        </row>
        <row r="81">
          <cell r="D81">
            <v>0</v>
          </cell>
        </row>
        <row r="82">
          <cell r="D82">
            <v>15223</v>
          </cell>
        </row>
        <row r="83">
          <cell r="D83">
            <v>7953622.16</v>
          </cell>
        </row>
        <row r="84">
          <cell r="D84">
            <v>6400000</v>
          </cell>
        </row>
        <row r="85">
          <cell r="D85">
            <v>4177422.64</v>
          </cell>
        </row>
        <row r="86">
          <cell r="D86">
            <v>2550000</v>
          </cell>
        </row>
        <row r="87">
          <cell r="D87">
            <v>2754596.05</v>
          </cell>
        </row>
        <row r="88">
          <cell r="D88">
            <v>7408534.27</v>
          </cell>
        </row>
        <row r="89">
          <cell r="D89">
            <v>0</v>
          </cell>
        </row>
        <row r="90">
          <cell r="D90">
            <v>8083.7</v>
          </cell>
        </row>
        <row r="91">
          <cell r="D91">
            <v>467860</v>
          </cell>
        </row>
        <row r="92">
          <cell r="D92">
            <v>7657255.06</v>
          </cell>
        </row>
        <row r="93">
          <cell r="D93">
            <v>11710814.7</v>
          </cell>
        </row>
        <row r="94">
          <cell r="D94">
            <v>14396421</v>
          </cell>
        </row>
        <row r="95">
          <cell r="D95">
            <v>3549437</v>
          </cell>
        </row>
        <row r="97">
          <cell r="D97">
            <v>8268651.579999983</v>
          </cell>
        </row>
        <row r="98">
          <cell r="D98">
            <v>4542.579999983311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_TAB"/>
      <sheetName val="SUM_TAB (2)"/>
      <sheetName val="tabulky materiál"/>
      <sheetName val="KRNAP"/>
      <sheetName val="ŠUMAVA"/>
      <sheetName val="PODYJÍ"/>
      <sheetName val="ČESKÉ ŠVÝCARSKO"/>
      <sheetName val="NP majetek"/>
    </sheetNames>
    <sheetDataSet>
      <sheetData sheetId="0">
        <row r="12">
          <cell r="D12">
            <v>139891573</v>
          </cell>
          <cell r="F12">
            <v>143666690</v>
          </cell>
          <cell r="H12">
            <v>143297082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řehled o rozpočtu_HČ"/>
      <sheetName val="komentář"/>
      <sheetName val="Grafy"/>
      <sheetName val="Vybrané položky"/>
      <sheetName val="ICT"/>
      <sheetName val="ZPC"/>
      <sheetName val="Zpeněžení DřHm"/>
      <sheetName val="Mzdový přehled "/>
      <sheetName val="Plnění rozpočtu a očekávka"/>
      <sheetName val="Finanční majetek"/>
      <sheetName val="Odpisy"/>
      <sheetName val="Plnění rozpočtu_JČ"/>
      <sheetName val="Investice Projekty"/>
      <sheetName val="Projekty a investice"/>
      <sheetName val="náklady dle čiností"/>
      <sheetName val="poznámky"/>
    </sheetNames>
    <sheetDataSet>
      <sheetData sheetId="0">
        <row r="10">
          <cell r="E10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6"/>
  <sheetViews>
    <sheetView tabSelected="1" zoomScalePageLayoutView="0" workbookViewId="0" topLeftCell="A1">
      <selection activeCell="B25" sqref="B25:I25"/>
    </sheetView>
  </sheetViews>
  <sheetFormatPr defaultColWidth="9.140625" defaultRowHeight="15"/>
  <cols>
    <col min="1" max="1" width="9.140625" style="3" customWidth="1"/>
    <col min="2" max="2" width="8.57421875" style="3" customWidth="1"/>
    <col min="3" max="3" width="13.7109375" style="3" bestFit="1" customWidth="1"/>
    <col min="4" max="4" width="9.140625" style="3" customWidth="1"/>
    <col min="5" max="5" width="10.57421875" style="3" customWidth="1"/>
    <col min="6" max="6" width="13.140625" style="3" customWidth="1"/>
    <col min="7" max="8" width="10.57421875" style="3" customWidth="1"/>
    <col min="9" max="16384" width="9.140625" style="3" customWidth="1"/>
  </cols>
  <sheetData>
    <row r="5" ht="15.75" thickBot="1"/>
    <row r="6" spans="1:10" ht="35.25" customHeight="1" thickBot="1">
      <c r="A6" s="751" t="s">
        <v>33</v>
      </c>
      <c r="B6" s="752"/>
      <c r="C6" s="752"/>
      <c r="D6" s="752"/>
      <c r="E6" s="752"/>
      <c r="F6" s="752"/>
      <c r="G6" s="752"/>
      <c r="H6" s="752"/>
      <c r="I6" s="752"/>
      <c r="J6" s="753"/>
    </row>
    <row r="8" spans="1:10" ht="22.5">
      <c r="A8" s="754" t="s">
        <v>415</v>
      </c>
      <c r="B8" s="755"/>
      <c r="C8" s="755"/>
      <c r="D8" s="755"/>
      <c r="E8" s="755"/>
      <c r="F8" s="755"/>
      <c r="G8" s="755"/>
      <c r="H8" s="755"/>
      <c r="I8" s="755"/>
      <c r="J8" s="756"/>
    </row>
    <row r="9" spans="1:10" ht="15" customHeight="1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20.25">
      <c r="A10" s="757" t="s">
        <v>32</v>
      </c>
      <c r="B10" s="758"/>
      <c r="C10" s="758"/>
      <c r="D10" s="758"/>
      <c r="E10" s="759">
        <v>2018</v>
      </c>
      <c r="F10" s="759"/>
      <c r="G10" s="759"/>
      <c r="H10" s="759"/>
      <c r="I10" s="759"/>
      <c r="J10" s="760"/>
    </row>
    <row r="11" spans="1:10" ht="20.25" customHeight="1">
      <c r="A11" s="749" t="s">
        <v>34</v>
      </c>
      <c r="B11" s="750"/>
      <c r="C11" s="750"/>
      <c r="D11" s="750"/>
      <c r="E11" s="7" t="s">
        <v>35</v>
      </c>
      <c r="F11" s="7" t="s">
        <v>614</v>
      </c>
      <c r="G11" s="7"/>
      <c r="H11" s="7"/>
      <c r="I11" s="7"/>
      <c r="J11" s="144"/>
    </row>
    <row r="15" spans="2:9" ht="24" customHeight="1">
      <c r="B15" s="748" t="str">
        <f>+'Přehled o rozpočtu_HČ'!A1</f>
        <v>PŘEHLED O ROZPOČTU NÁKLADŮ A VÝNOSŮ - HLAVNÍ ČINNOST</v>
      </c>
      <c r="C15" s="748"/>
      <c r="D15" s="748"/>
      <c r="E15" s="748"/>
      <c r="F15" s="748"/>
      <c r="G15" s="748"/>
      <c r="H15" s="748"/>
      <c r="I15" s="748"/>
    </row>
    <row r="16" spans="2:9" ht="24" customHeight="1">
      <c r="B16" s="748" t="str">
        <f>+'Vybrané položky'!A1</f>
        <v>ANALÝZA VYBRANÝCH POLOŽEK  HLAVNÍ ČINNOSTI </v>
      </c>
      <c r="C16" s="748"/>
      <c r="D16" s="748"/>
      <c r="E16" s="748"/>
      <c r="F16" s="748"/>
      <c r="G16" s="748"/>
      <c r="H16" s="748"/>
      <c r="I16" s="748"/>
    </row>
    <row r="17" spans="2:9" ht="24" customHeight="1">
      <c r="B17" s="748" t="str">
        <f>+ICT!A1</f>
        <v>ANALÝZA NÁKLADŮ ICT</v>
      </c>
      <c r="C17" s="748"/>
      <c r="D17" s="748"/>
      <c r="E17" s="748"/>
      <c r="F17" s="748"/>
      <c r="G17" s="748"/>
      <c r="H17" s="748"/>
      <c r="I17" s="748"/>
    </row>
    <row r="18" spans="2:9" ht="24" customHeight="1">
      <c r="B18" s="748" t="str">
        <f>+ZPC!A1</f>
        <v>ZAHRANIČNÍ PRACOVNÍ CESTY</v>
      </c>
      <c r="C18" s="748"/>
      <c r="D18" s="748"/>
      <c r="E18" s="748"/>
      <c r="F18" s="748"/>
      <c r="G18" s="748"/>
      <c r="H18" s="748"/>
      <c r="I18" s="748"/>
    </row>
    <row r="19" spans="2:9" ht="24" customHeight="1">
      <c r="B19" s="748" t="str">
        <f>+'[2]Zpeněžení DřHm'!A2</f>
        <v>PRŮMĚRNÉ ZPENĚŽENÍ PRODEJE DŘEVNÍ HMOTY</v>
      </c>
      <c r="C19" s="748"/>
      <c r="D19" s="748"/>
      <c r="E19" s="748"/>
      <c r="F19" s="748"/>
      <c r="G19" s="748"/>
      <c r="H19" s="748"/>
      <c r="I19" s="748"/>
    </row>
    <row r="20" spans="2:9" ht="24" customHeight="1">
      <c r="B20" s="748" t="e">
        <f>+#REF!</f>
        <v>#REF!</v>
      </c>
      <c r="C20" s="748"/>
      <c r="D20" s="748"/>
      <c r="E20" s="748"/>
      <c r="F20" s="748"/>
      <c r="G20" s="748"/>
      <c r="H20" s="748"/>
      <c r="I20" s="748"/>
    </row>
    <row r="21" spans="2:9" ht="24" customHeight="1">
      <c r="B21" s="748" t="str">
        <f>+'Finanční majetek'!A1</f>
        <v>FINANČNÍ MAJETEK</v>
      </c>
      <c r="C21" s="748"/>
      <c r="D21" s="748"/>
      <c r="E21" s="748"/>
      <c r="F21" s="748"/>
      <c r="G21" s="748"/>
      <c r="H21" s="748"/>
      <c r="I21" s="748"/>
    </row>
    <row r="22" spans="2:9" ht="24" customHeight="1">
      <c r="B22" s="748" t="str">
        <f>+Odpisy!A2</f>
        <v>PLÁN ÚČETNÍCH A DAŇOVÝCH ODPISŮ</v>
      </c>
      <c r="C22" s="748"/>
      <c r="D22" s="748"/>
      <c r="E22" s="748"/>
      <c r="F22" s="748"/>
      <c r="G22" s="748"/>
      <c r="H22" s="748"/>
      <c r="I22" s="748"/>
    </row>
    <row r="23" spans="2:11" ht="24" customHeight="1">
      <c r="B23" s="748" t="str">
        <f>+'[2]Plnění rozpočtu a očekávka'!A2</f>
        <v>PLNĚNÍ ROZPOČTU A OČEKÁVKA - HLAVNÍ ČINNOST</v>
      </c>
      <c r="C23" s="748"/>
      <c r="D23" s="748"/>
      <c r="E23" s="748"/>
      <c r="F23" s="748"/>
      <c r="G23" s="748"/>
      <c r="H23" s="748"/>
      <c r="I23" s="748"/>
      <c r="K23" s="3" t="s">
        <v>286</v>
      </c>
    </row>
    <row r="24" spans="2:11" ht="24" customHeight="1">
      <c r="B24" s="748" t="str">
        <f>+'Plnění rozpočtu_JČ'!A2</f>
        <v>PŘEHLED O ROZPOČTU NÁKLADŮ A VÝNOSŮ - JINÁ ČINNOST  </v>
      </c>
      <c r="C24" s="748"/>
      <c r="D24" s="748"/>
      <c r="E24" s="748"/>
      <c r="F24" s="748"/>
      <c r="G24" s="748"/>
      <c r="H24" s="748"/>
      <c r="I24" s="748"/>
      <c r="K24" s="3" t="s">
        <v>287</v>
      </c>
    </row>
    <row r="25" spans="2:11" ht="24" customHeight="1">
      <c r="B25" s="748">
        <f>+'Projekty a investice'!A2</f>
        <v>0</v>
      </c>
      <c r="C25" s="748"/>
      <c r="D25" s="748"/>
      <c r="E25" s="748"/>
      <c r="F25" s="748"/>
      <c r="G25" s="748"/>
      <c r="H25" s="748"/>
      <c r="I25" s="748"/>
      <c r="K25" s="3" t="s">
        <v>342</v>
      </c>
    </row>
    <row r="26" spans="2:11" ht="24" customHeight="1">
      <c r="B26" s="748" t="str">
        <f>+'náklady dle čiností'!A2</f>
        <v>ANALÝZA NÁKLADŮ DLE ČINNOSTÍ</v>
      </c>
      <c r="C26" s="748"/>
      <c r="D26" s="748"/>
      <c r="E26" s="748"/>
      <c r="F26" s="748"/>
      <c r="G26" s="748"/>
      <c r="H26" s="748"/>
      <c r="I26" s="748"/>
      <c r="K26" s="3" t="s">
        <v>342</v>
      </c>
    </row>
  </sheetData>
  <sheetProtection/>
  <mergeCells count="17">
    <mergeCell ref="A11:D11"/>
    <mergeCell ref="A6:J6"/>
    <mergeCell ref="A8:J8"/>
    <mergeCell ref="A10:D10"/>
    <mergeCell ref="E10:J10"/>
    <mergeCell ref="B26:I26"/>
    <mergeCell ref="B25:I25"/>
    <mergeCell ref="B15:I15"/>
    <mergeCell ref="B20:I20"/>
    <mergeCell ref="B21:I21"/>
    <mergeCell ref="B22:I22"/>
    <mergeCell ref="B23:I23"/>
    <mergeCell ref="B16:I16"/>
    <mergeCell ref="B24:I24"/>
    <mergeCell ref="B17:I17"/>
    <mergeCell ref="B18:I18"/>
    <mergeCell ref="B19:I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1800" verticalDpi="1800" orientation="portrait" paperSize="9" scale="86" r:id="rId1"/>
  <headerFooter>
    <oddHeader>&amp;RPříloha č. 7 k č.j.: 778/M/17, 22981/ENV/17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0">
      <selection activeCell="D28" sqref="D28"/>
    </sheetView>
  </sheetViews>
  <sheetFormatPr defaultColWidth="9.140625" defaultRowHeight="15"/>
  <cols>
    <col min="1" max="1" width="35.57421875" style="10" customWidth="1"/>
    <col min="2" max="2" width="10.7109375" style="10" customWidth="1"/>
    <col min="3" max="3" width="23.421875" style="10" customWidth="1"/>
    <col min="4" max="4" width="20.7109375" style="10" customWidth="1"/>
    <col min="5" max="5" width="21.8515625" style="10" customWidth="1"/>
    <col min="6" max="16384" width="9.140625" style="10" customWidth="1"/>
  </cols>
  <sheetData>
    <row r="1" spans="1:5" s="3" customFormat="1" ht="21" thickBot="1">
      <c r="A1" s="865" t="s">
        <v>295</v>
      </c>
      <c r="B1" s="866"/>
      <c r="C1" s="866"/>
      <c r="D1" s="866"/>
      <c r="E1" s="867"/>
    </row>
    <row r="2" ht="15.75" thickBot="1"/>
    <row r="3" spans="1:5" ht="19.5" thickBot="1">
      <c r="A3" s="11" t="s">
        <v>348</v>
      </c>
      <c r="B3" s="642"/>
      <c r="C3" s="12"/>
      <c r="D3" s="12"/>
      <c r="E3" s="13"/>
    </row>
    <row r="4" spans="1:5" ht="19.5" customHeight="1" thickBot="1">
      <c r="A4" s="14" t="s">
        <v>0</v>
      </c>
      <c r="B4" s="643" t="s">
        <v>537</v>
      </c>
      <c r="C4" s="15" t="str">
        <f>+CONCATENATE("stav k 1.1.",titul!E10)</f>
        <v>stav k 1.1.2018</v>
      </c>
      <c r="D4" s="16" t="str">
        <f>+IF(titul!F11="březen",CONCATENATE("stav k 31.3.",titul!E10),IF(titul!F11="červen",CONCATENATE("stav k 30.6.",titul!E10),IF(titul!F11="září",CONCATENATE("stav k 30.9.",titul!E10),CONCATENATE("stav k 31.12.",titul!E10))))</f>
        <v>stav k 31.12.2018</v>
      </c>
      <c r="E4" s="17" t="s">
        <v>2</v>
      </c>
    </row>
    <row r="5" spans="1:5" ht="15">
      <c r="A5" s="18" t="s">
        <v>538</v>
      </c>
      <c r="B5" s="639">
        <v>241300</v>
      </c>
      <c r="C5" s="444">
        <v>50143673.32</v>
      </c>
      <c r="D5" s="445">
        <v>21733080.38</v>
      </c>
      <c r="E5" s="321">
        <f aca="true" t="shared" si="0" ref="E5:E11">+D5-C5</f>
        <v>-28410592.94</v>
      </c>
    </row>
    <row r="6" spans="1:5" ht="15">
      <c r="A6" s="639" t="s">
        <v>538</v>
      </c>
      <c r="B6" s="639">
        <v>241301</v>
      </c>
      <c r="C6" s="444">
        <v>10000</v>
      </c>
      <c r="D6" s="445">
        <v>10000</v>
      </c>
      <c r="E6" s="321">
        <f t="shared" si="0"/>
        <v>0</v>
      </c>
    </row>
    <row r="7" spans="1:5" ht="15">
      <c r="A7" s="639" t="s">
        <v>539</v>
      </c>
      <c r="B7" s="639">
        <v>241401</v>
      </c>
      <c r="C7" s="444">
        <v>1817650.8</v>
      </c>
      <c r="D7" s="445">
        <v>3823738.51</v>
      </c>
      <c r="E7" s="321">
        <f t="shared" si="0"/>
        <v>2006087.7099999997</v>
      </c>
    </row>
    <row r="8" spans="1:5" ht="15">
      <c r="A8" s="19" t="s">
        <v>540</v>
      </c>
      <c r="B8" s="644">
        <v>241303</v>
      </c>
      <c r="C8" s="446">
        <v>432802.93</v>
      </c>
      <c r="D8" s="447">
        <v>0</v>
      </c>
      <c r="E8" s="322">
        <f t="shared" si="0"/>
        <v>-432802.93</v>
      </c>
    </row>
    <row r="9" spans="1:5" ht="15">
      <c r="A9" s="639" t="s">
        <v>541</v>
      </c>
      <c r="B9" s="639">
        <v>241302</v>
      </c>
      <c r="C9" s="444">
        <v>10000</v>
      </c>
      <c r="D9" s="445">
        <v>10000</v>
      </c>
      <c r="E9" s="321">
        <f t="shared" si="0"/>
        <v>0</v>
      </c>
    </row>
    <row r="10" spans="1:5" ht="15">
      <c r="A10" s="19" t="s">
        <v>542</v>
      </c>
      <c r="B10" s="644">
        <v>241304</v>
      </c>
      <c r="C10" s="446">
        <v>93113959.15</v>
      </c>
      <c r="D10" s="447">
        <v>93113959.15</v>
      </c>
      <c r="E10" s="322">
        <f t="shared" si="0"/>
        <v>0</v>
      </c>
    </row>
    <row r="11" spans="1:5" ht="15">
      <c r="A11" s="20" t="s">
        <v>543</v>
      </c>
      <c r="B11" s="20">
        <v>241306</v>
      </c>
      <c r="C11" s="448">
        <v>15291120.13</v>
      </c>
      <c r="D11" s="323">
        <v>14627770.13</v>
      </c>
      <c r="E11" s="324">
        <f t="shared" si="0"/>
        <v>-663350</v>
      </c>
    </row>
    <row r="12" spans="1:5" ht="15">
      <c r="A12" s="640" t="s">
        <v>536</v>
      </c>
      <c r="B12" s="640"/>
      <c r="C12" s="641">
        <f>SUM(C5:C11)</f>
        <v>160819206.32999998</v>
      </c>
      <c r="D12" s="641">
        <f>SUM(D5:D11)</f>
        <v>133318548.17</v>
      </c>
      <c r="E12" s="641">
        <f>SUM(E5:E11)</f>
        <v>-27500658.16</v>
      </c>
    </row>
    <row r="13" spans="1:5" ht="15">
      <c r="A13" s="20" t="s">
        <v>545</v>
      </c>
      <c r="B13" s="20">
        <v>243001</v>
      </c>
      <c r="C13" s="448">
        <v>2043479.63</v>
      </c>
      <c r="D13" s="323">
        <v>2577442.63</v>
      </c>
      <c r="E13" s="324">
        <f aca="true" t="shared" si="1" ref="E13:E19">+D13-C13</f>
        <v>533963</v>
      </c>
    </row>
    <row r="14" spans="1:5" ht="15">
      <c r="A14" s="20" t="s">
        <v>544</v>
      </c>
      <c r="B14" s="20">
        <v>261000</v>
      </c>
      <c r="C14" s="448">
        <v>575308</v>
      </c>
      <c r="D14" s="323">
        <v>709533</v>
      </c>
      <c r="E14" s="324">
        <f t="shared" si="1"/>
        <v>134225</v>
      </c>
    </row>
    <row r="15" spans="1:5" ht="15">
      <c r="A15" s="20" t="s">
        <v>546</v>
      </c>
      <c r="B15" s="20">
        <v>261100</v>
      </c>
      <c r="C15" s="448">
        <v>7839.69</v>
      </c>
      <c r="D15" s="323">
        <v>36786.95</v>
      </c>
      <c r="E15" s="324">
        <f t="shared" si="1"/>
        <v>28947.26</v>
      </c>
    </row>
    <row r="16" spans="1:5" ht="15">
      <c r="A16" s="20" t="s">
        <v>547</v>
      </c>
      <c r="B16" s="20">
        <v>261001</v>
      </c>
      <c r="C16" s="448">
        <v>65285</v>
      </c>
      <c r="D16" s="323">
        <v>88536</v>
      </c>
      <c r="E16" s="324">
        <f t="shared" si="1"/>
        <v>23251</v>
      </c>
    </row>
    <row r="17" spans="1:5" ht="15">
      <c r="A17" s="20" t="s">
        <v>548</v>
      </c>
      <c r="B17" s="20">
        <v>262000</v>
      </c>
      <c r="C17" s="448">
        <v>350000</v>
      </c>
      <c r="D17" s="323">
        <v>0</v>
      </c>
      <c r="E17" s="324">
        <f t="shared" si="1"/>
        <v>-350000</v>
      </c>
    </row>
    <row r="18" spans="1:5" ht="15">
      <c r="A18" s="20" t="s">
        <v>1</v>
      </c>
      <c r="B18" s="20">
        <v>263</v>
      </c>
      <c r="C18" s="448">
        <v>633231.18</v>
      </c>
      <c r="D18" s="323">
        <v>520281.18</v>
      </c>
      <c r="E18" s="324">
        <f t="shared" si="1"/>
        <v>-112950.00000000006</v>
      </c>
    </row>
    <row r="19" spans="1:5" ht="15.75" thickBot="1">
      <c r="A19" s="20"/>
      <c r="B19" s="20"/>
      <c r="C19" s="448"/>
      <c r="D19" s="323"/>
      <c r="E19" s="324">
        <f t="shared" si="1"/>
        <v>0</v>
      </c>
    </row>
    <row r="20" spans="1:5" ht="19.5" customHeight="1" thickBot="1">
      <c r="A20" s="21" t="s">
        <v>3</v>
      </c>
      <c r="B20" s="645"/>
      <c r="C20" s="325">
        <f>SUM(C12:C19)</f>
        <v>164494349.82999998</v>
      </c>
      <c r="D20" s="326">
        <f>SUM(D12:D19)</f>
        <v>137251127.93</v>
      </c>
      <c r="E20" s="327">
        <f>SUM(E12:E19)</f>
        <v>-27243221.9</v>
      </c>
    </row>
    <row r="22" ht="15.75" thickBot="1"/>
    <row r="23" spans="1:5" ht="19.5" thickBot="1">
      <c r="A23" s="11" t="s">
        <v>349</v>
      </c>
      <c r="B23" s="642"/>
      <c r="C23" s="12"/>
      <c r="D23" s="12"/>
      <c r="E23" s="13"/>
    </row>
    <row r="24" spans="1:5" ht="19.5" customHeight="1" thickBot="1">
      <c r="A24" s="643" t="s">
        <v>0</v>
      </c>
      <c r="B24" s="14"/>
      <c r="C24" s="666" t="str">
        <f>+C$4</f>
        <v>stav k 1.1.2018</v>
      </c>
      <c r="D24" s="16" t="str">
        <f>+D$4</f>
        <v>stav k 31.12.2018</v>
      </c>
      <c r="E24" s="17" t="str">
        <f>+E$4</f>
        <v>změna</v>
      </c>
    </row>
    <row r="25" spans="1:5" ht="15">
      <c r="A25" s="646" t="s">
        <v>4</v>
      </c>
      <c r="B25" s="669" t="s">
        <v>550</v>
      </c>
      <c r="C25" s="667">
        <v>26952906.1</v>
      </c>
      <c r="D25" s="445">
        <v>13298314.78</v>
      </c>
      <c r="E25" s="321">
        <f aca="true" t="shared" si="2" ref="E25:E34">+D25-C25</f>
        <v>-13654591.320000002</v>
      </c>
    </row>
    <row r="26" spans="1:5" ht="15">
      <c r="A26" s="647" t="s">
        <v>5</v>
      </c>
      <c r="B26" s="670"/>
      <c r="C26" s="660">
        <v>4499760</v>
      </c>
      <c r="D26" s="447">
        <v>4579015</v>
      </c>
      <c r="E26" s="322">
        <f t="shared" si="2"/>
        <v>79255</v>
      </c>
    </row>
    <row r="27" spans="1:5" ht="15">
      <c r="A27" s="648" t="s">
        <v>6</v>
      </c>
      <c r="B27" s="671"/>
      <c r="C27" s="660">
        <v>3501793</v>
      </c>
      <c r="D27" s="447">
        <v>3879325</v>
      </c>
      <c r="E27" s="322">
        <f t="shared" si="2"/>
        <v>377532</v>
      </c>
    </row>
    <row r="28" spans="1:5" ht="15">
      <c r="A28" s="655" t="s">
        <v>549</v>
      </c>
      <c r="B28" s="672">
        <v>194000</v>
      </c>
      <c r="C28" s="668">
        <v>3775644.9</v>
      </c>
      <c r="D28" s="656">
        <v>3817839.5</v>
      </c>
      <c r="E28" s="657">
        <f t="shared" si="2"/>
        <v>42194.60000000009</v>
      </c>
    </row>
    <row r="29" spans="1:5" ht="15">
      <c r="A29" s="649" t="s">
        <v>7</v>
      </c>
      <c r="B29" s="662" t="s">
        <v>551</v>
      </c>
      <c r="C29" s="660">
        <v>4863617.75</v>
      </c>
      <c r="D29" s="447">
        <v>7332901.05</v>
      </c>
      <c r="E29" s="322">
        <f t="shared" si="2"/>
        <v>2469283.3</v>
      </c>
    </row>
    <row r="30" spans="1:5" ht="15">
      <c r="A30" s="648" t="s">
        <v>5</v>
      </c>
      <c r="B30" s="671"/>
      <c r="C30" s="660">
        <v>330998</v>
      </c>
      <c r="D30" s="447">
        <v>108588</v>
      </c>
      <c r="E30" s="653">
        <f t="shared" si="2"/>
        <v>-222410</v>
      </c>
    </row>
    <row r="31" spans="1:5" ht="15">
      <c r="A31" s="654" t="s">
        <v>552</v>
      </c>
      <c r="B31" s="662" t="s">
        <v>553</v>
      </c>
      <c r="C31" s="660">
        <v>1576090.19</v>
      </c>
      <c r="D31" s="447">
        <v>1243309.35</v>
      </c>
      <c r="E31" s="653">
        <f t="shared" si="2"/>
        <v>-332780.83999999985</v>
      </c>
    </row>
    <row r="32" spans="1:5" ht="15">
      <c r="A32" s="654" t="s">
        <v>554</v>
      </c>
      <c r="B32" s="662" t="s">
        <v>555</v>
      </c>
      <c r="C32" s="660">
        <v>7254.55</v>
      </c>
      <c r="D32" s="447">
        <v>0</v>
      </c>
      <c r="E32" s="653">
        <f t="shared" si="2"/>
        <v>-7254.55</v>
      </c>
    </row>
    <row r="33" spans="1:5" ht="15">
      <c r="A33" s="663" t="s">
        <v>556</v>
      </c>
      <c r="B33" s="664" t="s">
        <v>557</v>
      </c>
      <c r="C33" s="665">
        <v>0</v>
      </c>
      <c r="D33" s="323">
        <v>0</v>
      </c>
      <c r="E33" s="324">
        <f t="shared" si="2"/>
        <v>0</v>
      </c>
    </row>
    <row r="34" spans="1:5" ht="15.75" thickBot="1">
      <c r="A34" s="659" t="s">
        <v>558</v>
      </c>
      <c r="B34" s="28">
        <v>335009</v>
      </c>
      <c r="C34" s="661">
        <v>505733</v>
      </c>
      <c r="D34" s="450">
        <v>288265</v>
      </c>
      <c r="E34" s="658">
        <f t="shared" si="2"/>
        <v>-217468</v>
      </c>
    </row>
    <row r="36" ht="15.75" thickBot="1"/>
    <row r="37" spans="1:5" ht="19.5" thickBot="1">
      <c r="A37" s="11" t="s">
        <v>350</v>
      </c>
      <c r="B37" s="642"/>
      <c r="C37" s="12"/>
      <c r="D37" s="12"/>
      <c r="E37" s="13"/>
    </row>
    <row r="38" spans="1:5" ht="16.5" thickBot="1">
      <c r="A38" s="14" t="s">
        <v>0</v>
      </c>
      <c r="B38" s="643"/>
      <c r="C38" s="15" t="str">
        <f>+C$4</f>
        <v>stav k 1.1.2018</v>
      </c>
      <c r="D38" s="16" t="str">
        <f>+D$4</f>
        <v>stav k 31.12.2018</v>
      </c>
      <c r="E38" s="17" t="str">
        <f>+E$4</f>
        <v>změna</v>
      </c>
    </row>
    <row r="39" spans="1:5" ht="15">
      <c r="A39" s="18" t="s">
        <v>8</v>
      </c>
      <c r="B39" s="639">
        <v>411</v>
      </c>
      <c r="C39" s="444">
        <v>14627770.13</v>
      </c>
      <c r="D39" s="445">
        <v>14468132.13</v>
      </c>
      <c r="E39" s="321">
        <f>+D39-C39</f>
        <v>-159638</v>
      </c>
    </row>
    <row r="40" spans="1:5" ht="15">
      <c r="A40" s="22" t="s">
        <v>9</v>
      </c>
      <c r="B40" s="695">
        <v>412</v>
      </c>
      <c r="C40" s="446">
        <v>3050683.63</v>
      </c>
      <c r="D40" s="447">
        <v>3384607.63</v>
      </c>
      <c r="E40" s="322">
        <f>+D40-C40</f>
        <v>333924</v>
      </c>
    </row>
    <row r="41" spans="1:5" ht="15">
      <c r="A41" s="23" t="s">
        <v>10</v>
      </c>
      <c r="B41" s="651">
        <v>413</v>
      </c>
      <c r="C41" s="446">
        <v>93113959.15</v>
      </c>
      <c r="D41" s="447">
        <v>93113959.15</v>
      </c>
      <c r="E41" s="322">
        <f>+D41-C41</f>
        <v>0</v>
      </c>
    </row>
    <row r="42" spans="1:5" ht="15">
      <c r="A42" s="19" t="s">
        <v>11</v>
      </c>
      <c r="B42" s="644">
        <v>414</v>
      </c>
      <c r="C42" s="446">
        <v>0</v>
      </c>
      <c r="D42" s="447">
        <v>7000</v>
      </c>
      <c r="E42" s="322">
        <f>+D42-C42</f>
        <v>7000</v>
      </c>
    </row>
    <row r="43" spans="1:5" ht="15.75" thickBot="1">
      <c r="A43" s="24" t="s">
        <v>12</v>
      </c>
      <c r="B43" s="652">
        <v>416</v>
      </c>
      <c r="C43" s="449">
        <v>95142171.28</v>
      </c>
      <c r="D43" s="450">
        <v>73745343.45</v>
      </c>
      <c r="E43" s="328">
        <f>+D43-C43</f>
        <v>-21396827.83</v>
      </c>
    </row>
    <row r="44" spans="1:5" ht="19.5" customHeight="1" thickBot="1">
      <c r="A44" s="21" t="s">
        <v>13</v>
      </c>
      <c r="B44" s="645"/>
      <c r="C44" s="325">
        <f>SUM(C39:C43)</f>
        <v>205934584.19</v>
      </c>
      <c r="D44" s="326">
        <f>SUM(D39:D43)</f>
        <v>184719042.36</v>
      </c>
      <c r="E44" s="327">
        <f>SUM(E39:E43)</f>
        <v>-21215541.83</v>
      </c>
    </row>
    <row r="46" ht="15.75" thickBot="1"/>
    <row r="47" spans="1:5" ht="19.5" thickBot="1">
      <c r="A47" s="11" t="s">
        <v>351</v>
      </c>
      <c r="B47" s="642"/>
      <c r="C47" s="12"/>
      <c r="D47" s="12"/>
      <c r="E47" s="13"/>
    </row>
    <row r="48" spans="1:5" ht="16.5" thickBot="1">
      <c r="A48" s="14" t="s">
        <v>0</v>
      </c>
      <c r="B48" s="643"/>
      <c r="C48" s="15" t="str">
        <f>+C$4</f>
        <v>stav k 1.1.2018</v>
      </c>
      <c r="D48" s="16" t="str">
        <f>+D$4</f>
        <v>stav k 31.12.2018</v>
      </c>
      <c r="E48" s="17" t="str">
        <f>+E$4</f>
        <v>změna</v>
      </c>
    </row>
    <row r="49" spans="1:5" ht="15">
      <c r="A49" s="25" t="s">
        <v>27</v>
      </c>
      <c r="B49" s="639"/>
      <c r="C49" s="329">
        <v>4081313.86</v>
      </c>
      <c r="D49" s="330">
        <v>4409058.53</v>
      </c>
      <c r="E49" s="331">
        <f>+D49-C49</f>
        <v>327744.6700000004</v>
      </c>
    </row>
    <row r="50" spans="1:5" ht="15">
      <c r="A50" s="26" t="s">
        <v>28</v>
      </c>
      <c r="B50" s="650"/>
      <c r="C50" s="446">
        <v>4849297.29</v>
      </c>
      <c r="D50" s="447">
        <v>5037956.22</v>
      </c>
      <c r="E50" s="322">
        <f>+D50-C50</f>
        <v>188658.9299999997</v>
      </c>
    </row>
    <row r="51" spans="1:5" ht="15">
      <c r="A51" s="27" t="s">
        <v>29</v>
      </c>
      <c r="B51" s="651"/>
      <c r="C51" s="446">
        <v>4977800.21</v>
      </c>
      <c r="D51" s="447">
        <v>3395056.78</v>
      </c>
      <c r="E51" s="322">
        <f>+D51-C51</f>
        <v>-1582743.4300000002</v>
      </c>
    </row>
    <row r="52" spans="1:5" ht="15.75" thickBot="1">
      <c r="A52" s="28" t="s">
        <v>30</v>
      </c>
      <c r="B52" s="652"/>
      <c r="C52" s="332">
        <v>0</v>
      </c>
      <c r="D52" s="333">
        <v>0</v>
      </c>
      <c r="E52" s="334">
        <f>+D52-C52</f>
        <v>0</v>
      </c>
    </row>
    <row r="53" spans="1:5" ht="15.75" thickBot="1">
      <c r="A53" s="29" t="s">
        <v>31</v>
      </c>
      <c r="B53" s="645"/>
      <c r="C53" s="335">
        <f>SUM(C49:C52)</f>
        <v>13908411.36</v>
      </c>
      <c r="D53" s="336">
        <f>SUM(D49:D52)</f>
        <v>12842071.53</v>
      </c>
      <c r="E53" s="337">
        <f>SUM(E49:E52)</f>
        <v>-1066339.83</v>
      </c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tToHeight="0" fitToWidth="1" horizontalDpi="1800" verticalDpi="18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4.421875" style="3" customWidth="1"/>
    <col min="2" max="4" width="23.00390625" style="3" customWidth="1"/>
    <col min="5" max="16384" width="9.140625" style="3" customWidth="1"/>
  </cols>
  <sheetData>
    <row r="1" ht="15.75" thickBot="1">
      <c r="A1" s="210" t="s">
        <v>325</v>
      </c>
    </row>
    <row r="2" spans="1:4" ht="21" thickBot="1">
      <c r="A2" s="865" t="s">
        <v>296</v>
      </c>
      <c r="B2" s="866"/>
      <c r="C2" s="866"/>
      <c r="D2" s="867"/>
    </row>
    <row r="4" ht="15.75" thickBot="1">
      <c r="A4" s="125" t="s">
        <v>260</v>
      </c>
    </row>
    <row r="5" spans="1:4" s="8" customFormat="1" ht="15">
      <c r="A5" s="858" t="s">
        <v>204</v>
      </c>
      <c r="B5" s="868" t="str">
        <f>CONCATENATE("očekávka ",+titul!E10)</f>
        <v>očekávka 2018</v>
      </c>
      <c r="C5" s="765"/>
      <c r="D5" s="766"/>
    </row>
    <row r="6" spans="1:6" s="8" customFormat="1" ht="15.75" thickBot="1">
      <c r="A6" s="859"/>
      <c r="B6" s="85" t="s">
        <v>37</v>
      </c>
      <c r="C6" s="85" t="s">
        <v>38</v>
      </c>
      <c r="D6" s="86" t="s">
        <v>39</v>
      </c>
      <c r="F6" s="143"/>
    </row>
    <row r="7" spans="1:4" s="8" customFormat="1" ht="15">
      <c r="A7" s="157" t="s">
        <v>197</v>
      </c>
      <c r="B7" s="339">
        <v>818350</v>
      </c>
      <c r="C7" s="339">
        <v>817211</v>
      </c>
      <c r="D7" s="340">
        <f aca="true" t="shared" si="0" ref="D7:D15">+B7-C7</f>
        <v>1139</v>
      </c>
    </row>
    <row r="8" spans="1:4" s="8" customFormat="1" ht="15">
      <c r="A8" s="158" t="s">
        <v>198</v>
      </c>
      <c r="B8" s="341">
        <v>171970</v>
      </c>
      <c r="C8" s="341">
        <v>3597785</v>
      </c>
      <c r="D8" s="342">
        <f t="shared" si="0"/>
        <v>-3425815</v>
      </c>
    </row>
    <row r="9" spans="1:4" s="8" customFormat="1" ht="15">
      <c r="A9" s="158" t="s">
        <v>199</v>
      </c>
      <c r="B9" s="341">
        <v>111276</v>
      </c>
      <c r="C9" s="341">
        <v>200753</v>
      </c>
      <c r="D9" s="342">
        <f t="shared" si="0"/>
        <v>-89477</v>
      </c>
    </row>
    <row r="10" spans="1:4" s="8" customFormat="1" ht="15">
      <c r="A10" s="158" t="s">
        <v>200</v>
      </c>
      <c r="B10" s="341">
        <v>2007327</v>
      </c>
      <c r="C10" s="341">
        <v>3260320</v>
      </c>
      <c r="D10" s="342">
        <f t="shared" si="0"/>
        <v>-1252993</v>
      </c>
    </row>
    <row r="11" spans="1:4" s="8" customFormat="1" ht="15">
      <c r="A11" s="158" t="s">
        <v>201</v>
      </c>
      <c r="B11" s="341"/>
      <c r="C11" s="341">
        <v>24137300</v>
      </c>
      <c r="D11" s="342">
        <f t="shared" si="0"/>
        <v>-24137300</v>
      </c>
    </row>
    <row r="12" spans="1:4" s="8" customFormat="1" ht="15">
      <c r="A12" s="338" t="s">
        <v>202</v>
      </c>
      <c r="B12" s="343">
        <v>15171809</v>
      </c>
      <c r="C12" s="343">
        <v>2976990</v>
      </c>
      <c r="D12" s="344"/>
    </row>
    <row r="13" spans="1:4" s="8" customFormat="1" ht="15">
      <c r="A13" s="338" t="s">
        <v>410</v>
      </c>
      <c r="B13" s="343">
        <v>7253595</v>
      </c>
      <c r="C13" s="343"/>
      <c r="D13" s="344"/>
    </row>
    <row r="14" spans="1:4" s="8" customFormat="1" ht="15.75" thickBot="1">
      <c r="A14" s="159" t="s">
        <v>288</v>
      </c>
      <c r="B14" s="343">
        <v>4395919</v>
      </c>
      <c r="C14" s="343"/>
      <c r="D14" s="344">
        <f t="shared" si="0"/>
        <v>4395919</v>
      </c>
    </row>
    <row r="15" spans="1:4" s="8" customFormat="1" ht="15.75" thickBot="1">
      <c r="A15" s="84" t="s">
        <v>203</v>
      </c>
      <c r="B15" s="345">
        <f>SUM(B7:B14)</f>
        <v>29930246</v>
      </c>
      <c r="C15" s="345">
        <f>SUM(C7:C14)</f>
        <v>34990359</v>
      </c>
      <c r="D15" s="346">
        <f t="shared" si="0"/>
        <v>-5060113</v>
      </c>
    </row>
    <row r="18" ht="15">
      <c r="I18" s="9"/>
    </row>
  </sheetData>
  <sheetProtection/>
  <mergeCells count="3">
    <mergeCell ref="A2:D2"/>
    <mergeCell ref="B5:D5"/>
    <mergeCell ref="A5:A6"/>
  </mergeCells>
  <printOptions/>
  <pageMargins left="0.7086614173228347" right="0.7086614173228347" top="0.7874015748031497" bottom="0.7874015748031497" header="0.31496062992125984" footer="0.31496062992125984"/>
  <pageSetup fitToHeight="0" fitToWidth="1" horizontalDpi="1800" verticalDpi="18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1">
      <selection activeCell="F62" sqref="F62"/>
    </sheetView>
  </sheetViews>
  <sheetFormatPr defaultColWidth="9.140625" defaultRowHeight="15"/>
  <cols>
    <col min="1" max="1" width="4.140625" style="3" customWidth="1"/>
    <col min="2" max="2" width="54.00390625" style="3" bestFit="1" customWidth="1"/>
    <col min="3" max="3" width="5.140625" style="3" customWidth="1"/>
    <col min="4" max="4" width="16.28125" style="3" customWidth="1"/>
    <col min="5" max="5" width="19.7109375" style="3" customWidth="1"/>
    <col min="6" max="6" width="16.28125" style="3" customWidth="1"/>
    <col min="7" max="7" width="19.7109375" style="3" customWidth="1"/>
    <col min="8" max="8" width="19.140625" style="3" customWidth="1"/>
    <col min="9" max="9" width="19.7109375" style="3" customWidth="1"/>
    <col min="10" max="10" width="16.28125" style="3" customWidth="1"/>
    <col min="11" max="11" width="17.140625" style="3" customWidth="1"/>
    <col min="12" max="12" width="17.28125" style="3" customWidth="1"/>
    <col min="13" max="16384" width="9.140625" style="10" customWidth="1"/>
  </cols>
  <sheetData>
    <row r="1" spans="1:5" ht="16.5" customHeight="1" thickBot="1">
      <c r="A1" s="209" t="s">
        <v>281</v>
      </c>
      <c r="B1" s="208"/>
      <c r="C1" s="208"/>
      <c r="D1" s="208"/>
      <c r="E1" s="208"/>
    </row>
    <row r="2" spans="1:12" ht="21" customHeight="1" thickBot="1">
      <c r="A2" s="869" t="s">
        <v>298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1"/>
    </row>
    <row r="3" spans="1:12" ht="21" customHeight="1" thickBot="1">
      <c r="A3" s="30"/>
      <c r="B3" s="184" t="s">
        <v>260</v>
      </c>
      <c r="C3" s="30"/>
      <c r="D3" s="30"/>
      <c r="E3" s="30"/>
      <c r="F3" s="30"/>
      <c r="G3" s="30"/>
      <c r="H3" s="10"/>
      <c r="I3" s="10"/>
      <c r="J3" s="10"/>
      <c r="K3" s="10"/>
      <c r="L3" s="10"/>
    </row>
    <row r="4" spans="1:12" ht="15">
      <c r="A4" s="773" t="s">
        <v>175</v>
      </c>
      <c r="B4" s="870" t="s">
        <v>0</v>
      </c>
      <c r="C4" s="850"/>
      <c r="D4" s="764" t="str">
        <f>CONCATENATE(+titul!E11,titul!$F$11)</f>
        <v>leden - prosinec</v>
      </c>
      <c r="E4" s="765"/>
      <c r="F4" s="765"/>
      <c r="G4" s="765"/>
      <c r="H4" s="873"/>
      <c r="I4" s="764">
        <f>+titul!E10</f>
        <v>2018</v>
      </c>
      <c r="J4" s="765"/>
      <c r="K4" s="765"/>
      <c r="L4" s="766"/>
    </row>
    <row r="5" spans="1:12" s="99" customFormat="1" ht="15.75" customHeight="1">
      <c r="A5" s="774"/>
      <c r="B5" s="871"/>
      <c r="C5" s="851"/>
      <c r="D5" s="875" t="str">
        <f>+CONCATENATE("skutečnost ",titul!$E$10-2)</f>
        <v>skutečnost 2016</v>
      </c>
      <c r="E5" s="876" t="str">
        <f>+CONCATENATE("skutečnost ",titul!$E$10-1)</f>
        <v>skutečnost 2017</v>
      </c>
      <c r="F5" s="876" t="str">
        <f>+CONCATENATE("skutečnost ",titul!$E$10)</f>
        <v>skutečnost 2018</v>
      </c>
      <c r="G5" s="776" t="s">
        <v>187</v>
      </c>
      <c r="H5" s="874"/>
      <c r="I5" s="877" t="s">
        <v>174</v>
      </c>
      <c r="J5" s="879" t="s">
        <v>171</v>
      </c>
      <c r="K5" s="879" t="s">
        <v>172</v>
      </c>
      <c r="L5" s="880" t="s">
        <v>173</v>
      </c>
    </row>
    <row r="6" spans="1:12" s="99" customFormat="1" ht="16.5" thickBot="1">
      <c r="A6" s="775"/>
      <c r="B6" s="872"/>
      <c r="C6" s="852"/>
      <c r="D6" s="859"/>
      <c r="E6" s="861"/>
      <c r="F6" s="861"/>
      <c r="G6" s="123" t="str">
        <f>+CONCATENATE(titul!$E$10,"-",titul!$E$10-2)</f>
        <v>2018-2016</v>
      </c>
      <c r="H6" s="124" t="str">
        <f>+CONCATENATE(titul!$E$10,"-",titul!$E$10-1)</f>
        <v>2018-2017</v>
      </c>
      <c r="I6" s="878"/>
      <c r="J6" s="777"/>
      <c r="K6" s="777"/>
      <c r="L6" s="881"/>
    </row>
    <row r="7" spans="1:12" s="100" customFormat="1" ht="16.5" thickBot="1">
      <c r="A7" s="108">
        <v>1</v>
      </c>
      <c r="B7" s="109" t="s">
        <v>180</v>
      </c>
      <c r="C7" s="110" t="s">
        <v>40</v>
      </c>
      <c r="D7" s="74">
        <f>D8+D44+D50+D53</f>
        <v>569987</v>
      </c>
      <c r="E7" s="111">
        <f>E8+E44+E50+E53</f>
        <v>442985</v>
      </c>
      <c r="F7" s="111">
        <f>F8+F44+F50+F53</f>
        <v>516226</v>
      </c>
      <c r="G7" s="111">
        <f aca="true" t="shared" si="0" ref="G7:G38">+F7-D7</f>
        <v>-53761</v>
      </c>
      <c r="H7" s="112">
        <f aca="true" t="shared" si="1" ref="H7:H38">+F7-E7</f>
        <v>73241</v>
      </c>
      <c r="I7" s="113">
        <f>SUM(G7-E7)</f>
        <v>-496746</v>
      </c>
      <c r="J7" s="114">
        <f aca="true" t="shared" si="2" ref="J7:J38">+IF(I7=0,"",F7/I7)</f>
        <v>-1.0392152126036245</v>
      </c>
      <c r="K7" s="115">
        <f>K8+K44+K50+K53</f>
        <v>0</v>
      </c>
      <c r="L7" s="116">
        <f>+K7-I7</f>
        <v>496746</v>
      </c>
    </row>
    <row r="8" spans="1:12" s="100" customFormat="1" ht="15.75">
      <c r="A8" s="102">
        <v>2</v>
      </c>
      <c r="B8" s="103" t="s">
        <v>179</v>
      </c>
      <c r="C8" s="104"/>
      <c r="D8" s="72">
        <f>SUM(D9:D43)</f>
        <v>569987</v>
      </c>
      <c r="E8" s="105">
        <f>SUM(E9:E43)</f>
        <v>442985</v>
      </c>
      <c r="F8" s="105">
        <f>SUM(F9:F43)</f>
        <v>516226</v>
      </c>
      <c r="G8" s="105">
        <f t="shared" si="0"/>
        <v>-53761</v>
      </c>
      <c r="H8" s="73">
        <f t="shared" si="1"/>
        <v>73241</v>
      </c>
      <c r="I8" s="72">
        <f>SUM(G8-E8)</f>
        <v>-496746</v>
      </c>
      <c r="J8" s="106">
        <f t="shared" si="2"/>
        <v>-1.0392152126036245</v>
      </c>
      <c r="K8" s="105">
        <f>SUM(K9:K43)</f>
        <v>0</v>
      </c>
      <c r="L8" s="73">
        <f>+K8-I8</f>
        <v>496746</v>
      </c>
    </row>
    <row r="9" spans="1:12" ht="15">
      <c r="A9" s="39">
        <v>3</v>
      </c>
      <c r="B9" s="38" t="s">
        <v>41</v>
      </c>
      <c r="C9" s="55" t="s">
        <v>42</v>
      </c>
      <c r="D9" s="297"/>
      <c r="E9" s="247"/>
      <c r="F9" s="37"/>
      <c r="G9" s="37">
        <f t="shared" si="0"/>
        <v>0</v>
      </c>
      <c r="H9" s="62">
        <f t="shared" si="1"/>
        <v>0</v>
      </c>
      <c r="I9" s="61"/>
      <c r="J9" s="70">
        <f t="shared" si="2"/>
      </c>
      <c r="K9" s="37"/>
      <c r="L9" s="62">
        <f aca="true" t="shared" si="3" ref="L9:L71">+K9-I9</f>
        <v>0</v>
      </c>
    </row>
    <row r="10" spans="1:12" ht="15">
      <c r="A10" s="39">
        <v>4</v>
      </c>
      <c r="B10" s="38" t="s">
        <v>43</v>
      </c>
      <c r="C10" s="55" t="s">
        <v>44</v>
      </c>
      <c r="D10" s="297"/>
      <c r="E10" s="247"/>
      <c r="F10" s="37"/>
      <c r="G10" s="37">
        <f t="shared" si="0"/>
        <v>0</v>
      </c>
      <c r="H10" s="62">
        <f t="shared" si="1"/>
        <v>0</v>
      </c>
      <c r="I10" s="61"/>
      <c r="J10" s="70">
        <f t="shared" si="2"/>
      </c>
      <c r="K10" s="37"/>
      <c r="L10" s="62">
        <f>+K10-I10</f>
        <v>0</v>
      </c>
    </row>
    <row r="11" spans="1:12" ht="15">
      <c r="A11" s="39">
        <v>5</v>
      </c>
      <c r="B11" s="38" t="s">
        <v>45</v>
      </c>
      <c r="C11" s="55" t="s">
        <v>46</v>
      </c>
      <c r="D11" s="297"/>
      <c r="E11" s="247"/>
      <c r="F11" s="37"/>
      <c r="G11" s="37">
        <f t="shared" si="0"/>
        <v>0</v>
      </c>
      <c r="H11" s="62">
        <f t="shared" si="1"/>
        <v>0</v>
      </c>
      <c r="I11" s="61"/>
      <c r="J11" s="70">
        <f t="shared" si="2"/>
      </c>
      <c r="K11" s="37"/>
      <c r="L11" s="62">
        <f t="shared" si="3"/>
        <v>0</v>
      </c>
    </row>
    <row r="12" spans="1:12" ht="15">
      <c r="A12" s="39">
        <v>6</v>
      </c>
      <c r="B12" s="38" t="s">
        <v>47</v>
      </c>
      <c r="C12" s="55" t="s">
        <v>48</v>
      </c>
      <c r="D12" s="297">
        <v>479248</v>
      </c>
      <c r="E12" s="247">
        <v>355657</v>
      </c>
      <c r="F12" s="37">
        <v>312467</v>
      </c>
      <c r="G12" s="37">
        <f t="shared" si="0"/>
        <v>-166781</v>
      </c>
      <c r="H12" s="62">
        <f t="shared" si="1"/>
        <v>-43190</v>
      </c>
      <c r="I12" s="61"/>
      <c r="J12" s="70">
        <f t="shared" si="2"/>
      </c>
      <c r="K12" s="37"/>
      <c r="L12" s="62">
        <f t="shared" si="3"/>
        <v>0</v>
      </c>
    </row>
    <row r="13" spans="1:12" ht="15">
      <c r="A13" s="39">
        <v>7</v>
      </c>
      <c r="B13" s="38" t="s">
        <v>49</v>
      </c>
      <c r="C13" s="55" t="s">
        <v>50</v>
      </c>
      <c r="D13" s="297"/>
      <c r="E13" s="247"/>
      <c r="F13" s="37"/>
      <c r="G13" s="37">
        <f t="shared" si="0"/>
        <v>0</v>
      </c>
      <c r="H13" s="62">
        <f t="shared" si="1"/>
        <v>0</v>
      </c>
      <c r="I13" s="61"/>
      <c r="J13" s="70">
        <f t="shared" si="2"/>
      </c>
      <c r="K13" s="37"/>
      <c r="L13" s="62">
        <f t="shared" si="3"/>
        <v>0</v>
      </c>
    </row>
    <row r="14" spans="1:12" ht="15">
      <c r="A14" s="39">
        <v>8</v>
      </c>
      <c r="B14" s="38" t="s">
        <v>51</v>
      </c>
      <c r="C14" s="55" t="s">
        <v>52</v>
      </c>
      <c r="D14" s="297"/>
      <c r="E14" s="247"/>
      <c r="F14" s="37"/>
      <c r="G14" s="37">
        <f t="shared" si="0"/>
        <v>0</v>
      </c>
      <c r="H14" s="62">
        <f t="shared" si="1"/>
        <v>0</v>
      </c>
      <c r="I14" s="61"/>
      <c r="J14" s="70">
        <f t="shared" si="2"/>
      </c>
      <c r="K14" s="37"/>
      <c r="L14" s="62">
        <f t="shared" si="3"/>
        <v>0</v>
      </c>
    </row>
    <row r="15" spans="1:12" ht="15">
      <c r="A15" s="39">
        <v>9</v>
      </c>
      <c r="B15" s="38" t="s">
        <v>53</v>
      </c>
      <c r="C15" s="55" t="s">
        <v>54</v>
      </c>
      <c r="D15" s="297"/>
      <c r="E15" s="247"/>
      <c r="F15" s="37"/>
      <c r="G15" s="37">
        <f t="shared" si="0"/>
        <v>0</v>
      </c>
      <c r="H15" s="62">
        <f t="shared" si="1"/>
        <v>0</v>
      </c>
      <c r="I15" s="61"/>
      <c r="J15" s="70">
        <f t="shared" si="2"/>
      </c>
      <c r="K15" s="37"/>
      <c r="L15" s="62">
        <f t="shared" si="3"/>
        <v>0</v>
      </c>
    </row>
    <row r="16" spans="1:12" ht="15">
      <c r="A16" s="39">
        <v>10</v>
      </c>
      <c r="B16" s="38" t="s">
        <v>55</v>
      </c>
      <c r="C16" s="55" t="s">
        <v>56</v>
      </c>
      <c r="D16" s="297"/>
      <c r="E16" s="247"/>
      <c r="F16" s="37"/>
      <c r="G16" s="37">
        <f t="shared" si="0"/>
        <v>0</v>
      </c>
      <c r="H16" s="62">
        <f t="shared" si="1"/>
        <v>0</v>
      </c>
      <c r="I16" s="61"/>
      <c r="J16" s="70">
        <f t="shared" si="2"/>
      </c>
      <c r="K16" s="37"/>
      <c r="L16" s="62">
        <f t="shared" si="3"/>
        <v>0</v>
      </c>
    </row>
    <row r="17" spans="1:12" ht="15">
      <c r="A17" s="39">
        <v>11</v>
      </c>
      <c r="B17" s="38" t="s">
        <v>57</v>
      </c>
      <c r="C17" s="55" t="s">
        <v>58</v>
      </c>
      <c r="D17" s="297"/>
      <c r="E17" s="247"/>
      <c r="F17" s="37"/>
      <c r="G17" s="37">
        <f t="shared" si="0"/>
        <v>0</v>
      </c>
      <c r="H17" s="62">
        <f t="shared" si="1"/>
        <v>0</v>
      </c>
      <c r="I17" s="61"/>
      <c r="J17" s="70">
        <f t="shared" si="2"/>
      </c>
      <c r="K17" s="37"/>
      <c r="L17" s="62">
        <f t="shared" si="3"/>
        <v>0</v>
      </c>
    </row>
    <row r="18" spans="1:12" ht="15">
      <c r="A18" s="39">
        <v>12</v>
      </c>
      <c r="B18" s="38" t="s">
        <v>59</v>
      </c>
      <c r="C18" s="55" t="s">
        <v>60</v>
      </c>
      <c r="D18" s="297"/>
      <c r="E18" s="247"/>
      <c r="F18" s="37"/>
      <c r="G18" s="37">
        <f t="shared" si="0"/>
        <v>0</v>
      </c>
      <c r="H18" s="62">
        <f t="shared" si="1"/>
        <v>0</v>
      </c>
      <c r="I18" s="61"/>
      <c r="J18" s="70">
        <f t="shared" si="2"/>
      </c>
      <c r="K18" s="37"/>
      <c r="L18" s="62">
        <f t="shared" si="3"/>
        <v>0</v>
      </c>
    </row>
    <row r="19" spans="1:12" ht="15">
      <c r="A19" s="39">
        <v>13</v>
      </c>
      <c r="B19" s="38" t="s">
        <v>61</v>
      </c>
      <c r="C19" s="55" t="s">
        <v>62</v>
      </c>
      <c r="D19" s="297"/>
      <c r="E19" s="247"/>
      <c r="F19" s="37"/>
      <c r="G19" s="37">
        <f t="shared" si="0"/>
        <v>0</v>
      </c>
      <c r="H19" s="62">
        <f t="shared" si="1"/>
        <v>0</v>
      </c>
      <c r="I19" s="61"/>
      <c r="J19" s="70">
        <f t="shared" si="2"/>
      </c>
      <c r="K19" s="37"/>
      <c r="L19" s="62">
        <f t="shared" si="3"/>
        <v>0</v>
      </c>
    </row>
    <row r="20" spans="1:12" ht="15">
      <c r="A20" s="39">
        <v>14</v>
      </c>
      <c r="B20" s="38" t="s">
        <v>63</v>
      </c>
      <c r="C20" s="55" t="s">
        <v>64</v>
      </c>
      <c r="D20" s="297"/>
      <c r="E20" s="247"/>
      <c r="F20" s="37"/>
      <c r="G20" s="37">
        <f t="shared" si="0"/>
        <v>0</v>
      </c>
      <c r="H20" s="62">
        <f t="shared" si="1"/>
        <v>0</v>
      </c>
      <c r="I20" s="61"/>
      <c r="J20" s="70">
        <f t="shared" si="2"/>
      </c>
      <c r="K20" s="37"/>
      <c r="L20" s="62">
        <f t="shared" si="3"/>
        <v>0</v>
      </c>
    </row>
    <row r="21" spans="1:12" ht="15">
      <c r="A21" s="39">
        <v>15</v>
      </c>
      <c r="B21" s="38" t="s">
        <v>65</v>
      </c>
      <c r="C21" s="55" t="s">
        <v>66</v>
      </c>
      <c r="D21" s="297">
        <v>66960</v>
      </c>
      <c r="E21" s="247">
        <v>64209</v>
      </c>
      <c r="F21" s="37">
        <v>149822</v>
      </c>
      <c r="G21" s="37">
        <f t="shared" si="0"/>
        <v>82862</v>
      </c>
      <c r="H21" s="62">
        <f t="shared" si="1"/>
        <v>85613</v>
      </c>
      <c r="I21" s="61"/>
      <c r="J21" s="70">
        <f t="shared" si="2"/>
      </c>
      <c r="K21" s="37"/>
      <c r="L21" s="62">
        <f t="shared" si="3"/>
        <v>0</v>
      </c>
    </row>
    <row r="22" spans="1:12" ht="15">
      <c r="A22" s="39">
        <v>16</v>
      </c>
      <c r="B22" s="38" t="s">
        <v>67</v>
      </c>
      <c r="C22" s="55" t="s">
        <v>68</v>
      </c>
      <c r="D22" s="297">
        <v>22775</v>
      </c>
      <c r="E22" s="247">
        <v>21835</v>
      </c>
      <c r="F22" s="37">
        <v>50941</v>
      </c>
      <c r="G22" s="37">
        <f t="shared" si="0"/>
        <v>28166</v>
      </c>
      <c r="H22" s="62">
        <f t="shared" si="1"/>
        <v>29106</v>
      </c>
      <c r="I22" s="61"/>
      <c r="J22" s="70">
        <f t="shared" si="2"/>
      </c>
      <c r="K22" s="37"/>
      <c r="L22" s="62">
        <f t="shared" si="3"/>
        <v>0</v>
      </c>
    </row>
    <row r="23" spans="1:12" ht="15">
      <c r="A23" s="39">
        <v>17</v>
      </c>
      <c r="B23" s="38" t="s">
        <v>69</v>
      </c>
      <c r="C23" s="55" t="s">
        <v>70</v>
      </c>
      <c r="D23" s="297">
        <v>0</v>
      </c>
      <c r="E23" s="247">
        <v>0</v>
      </c>
      <c r="F23" s="37">
        <v>0</v>
      </c>
      <c r="G23" s="37">
        <f t="shared" si="0"/>
        <v>0</v>
      </c>
      <c r="H23" s="62">
        <f t="shared" si="1"/>
        <v>0</v>
      </c>
      <c r="I23" s="61"/>
      <c r="J23" s="70">
        <f t="shared" si="2"/>
      </c>
      <c r="K23" s="37"/>
      <c r="L23" s="62">
        <f t="shared" si="3"/>
        <v>0</v>
      </c>
    </row>
    <row r="24" spans="1:12" ht="15">
      <c r="A24" s="39">
        <v>18</v>
      </c>
      <c r="B24" s="38" t="s">
        <v>71</v>
      </c>
      <c r="C24" s="55" t="s">
        <v>72</v>
      </c>
      <c r="D24" s="297">
        <v>1004</v>
      </c>
      <c r="E24" s="247">
        <v>1284</v>
      </c>
      <c r="F24" s="37">
        <v>2996</v>
      </c>
      <c r="G24" s="37">
        <f t="shared" si="0"/>
        <v>1992</v>
      </c>
      <c r="H24" s="62">
        <f t="shared" si="1"/>
        <v>1712</v>
      </c>
      <c r="I24" s="61"/>
      <c r="J24" s="70">
        <f t="shared" si="2"/>
      </c>
      <c r="K24" s="37"/>
      <c r="L24" s="62">
        <f t="shared" si="3"/>
        <v>0</v>
      </c>
    </row>
    <row r="25" spans="1:12" ht="15">
      <c r="A25" s="39">
        <v>19</v>
      </c>
      <c r="B25" s="38" t="s">
        <v>73</v>
      </c>
      <c r="C25" s="55" t="s">
        <v>74</v>
      </c>
      <c r="D25" s="297">
        <v>0</v>
      </c>
      <c r="E25" s="247">
        <v>0</v>
      </c>
      <c r="F25" s="37">
        <v>0</v>
      </c>
      <c r="G25" s="37">
        <f t="shared" si="0"/>
        <v>0</v>
      </c>
      <c r="H25" s="62">
        <f t="shared" si="1"/>
        <v>0</v>
      </c>
      <c r="I25" s="61"/>
      <c r="J25" s="70">
        <f t="shared" si="2"/>
      </c>
      <c r="K25" s="37"/>
      <c r="L25" s="62">
        <f t="shared" si="3"/>
        <v>0</v>
      </c>
    </row>
    <row r="26" spans="1:12" ht="15">
      <c r="A26" s="39">
        <v>20</v>
      </c>
      <c r="B26" s="38" t="s">
        <v>75</v>
      </c>
      <c r="C26" s="55" t="s">
        <v>76</v>
      </c>
      <c r="D26" s="297"/>
      <c r="E26" s="247"/>
      <c r="F26" s="37"/>
      <c r="G26" s="37">
        <f t="shared" si="0"/>
        <v>0</v>
      </c>
      <c r="H26" s="62">
        <f t="shared" si="1"/>
        <v>0</v>
      </c>
      <c r="I26" s="61"/>
      <c r="J26" s="70">
        <f t="shared" si="2"/>
      </c>
      <c r="K26" s="37"/>
      <c r="L26" s="62">
        <f t="shared" si="3"/>
        <v>0</v>
      </c>
    </row>
    <row r="27" spans="1:12" ht="15">
      <c r="A27" s="39">
        <v>21</v>
      </c>
      <c r="B27" s="38" t="s">
        <v>77</v>
      </c>
      <c r="C27" s="55" t="s">
        <v>78</v>
      </c>
      <c r="D27" s="297"/>
      <c r="E27" s="247"/>
      <c r="F27" s="37"/>
      <c r="G27" s="37">
        <f t="shared" si="0"/>
        <v>0</v>
      </c>
      <c r="H27" s="62">
        <f t="shared" si="1"/>
        <v>0</v>
      </c>
      <c r="I27" s="61"/>
      <c r="J27" s="70">
        <f t="shared" si="2"/>
      </c>
      <c r="K27" s="37"/>
      <c r="L27" s="62">
        <f t="shared" si="3"/>
        <v>0</v>
      </c>
    </row>
    <row r="28" spans="1:12" ht="15">
      <c r="A28" s="39">
        <v>22</v>
      </c>
      <c r="B28" s="38" t="s">
        <v>79</v>
      </c>
      <c r="C28" s="55" t="s">
        <v>80</v>
      </c>
      <c r="D28" s="297"/>
      <c r="E28" s="247"/>
      <c r="F28" s="37"/>
      <c r="G28" s="37">
        <f t="shared" si="0"/>
        <v>0</v>
      </c>
      <c r="H28" s="62">
        <f t="shared" si="1"/>
        <v>0</v>
      </c>
      <c r="I28" s="61"/>
      <c r="J28" s="70">
        <f t="shared" si="2"/>
      </c>
      <c r="K28" s="37"/>
      <c r="L28" s="62">
        <f t="shared" si="3"/>
        <v>0</v>
      </c>
    </row>
    <row r="29" spans="1:12" ht="15">
      <c r="A29" s="39">
        <v>23</v>
      </c>
      <c r="B29" s="38" t="s">
        <v>81</v>
      </c>
      <c r="C29" s="55" t="s">
        <v>82</v>
      </c>
      <c r="D29" s="297"/>
      <c r="E29" s="247"/>
      <c r="F29" s="37"/>
      <c r="G29" s="37">
        <f t="shared" si="0"/>
        <v>0</v>
      </c>
      <c r="H29" s="62">
        <f t="shared" si="1"/>
        <v>0</v>
      </c>
      <c r="I29" s="61"/>
      <c r="J29" s="70">
        <f t="shared" si="2"/>
      </c>
      <c r="K29" s="37"/>
      <c r="L29" s="62">
        <f t="shared" si="3"/>
        <v>0</v>
      </c>
    </row>
    <row r="30" spans="1:12" ht="15">
      <c r="A30" s="39">
        <v>24</v>
      </c>
      <c r="B30" s="38" t="s">
        <v>83</v>
      </c>
      <c r="C30" s="55" t="s">
        <v>84</v>
      </c>
      <c r="D30" s="297"/>
      <c r="E30" s="247"/>
      <c r="F30" s="37"/>
      <c r="G30" s="37">
        <f t="shared" si="0"/>
        <v>0</v>
      </c>
      <c r="H30" s="62">
        <f t="shared" si="1"/>
        <v>0</v>
      </c>
      <c r="I30" s="61"/>
      <c r="J30" s="70">
        <f t="shared" si="2"/>
      </c>
      <c r="K30" s="37"/>
      <c r="L30" s="62">
        <f t="shared" si="3"/>
        <v>0</v>
      </c>
    </row>
    <row r="31" spans="1:12" ht="15">
      <c r="A31" s="39">
        <v>25</v>
      </c>
      <c r="B31" s="38" t="s">
        <v>85</v>
      </c>
      <c r="C31" s="55" t="s">
        <v>86</v>
      </c>
      <c r="D31" s="297"/>
      <c r="E31" s="247"/>
      <c r="F31" s="37"/>
      <c r="G31" s="37">
        <f t="shared" si="0"/>
        <v>0</v>
      </c>
      <c r="H31" s="62">
        <f t="shared" si="1"/>
        <v>0</v>
      </c>
      <c r="I31" s="61"/>
      <c r="J31" s="70">
        <f t="shared" si="2"/>
      </c>
      <c r="K31" s="37"/>
      <c r="L31" s="62">
        <f t="shared" si="3"/>
        <v>0</v>
      </c>
    </row>
    <row r="32" spans="1:12" ht="15">
      <c r="A32" s="39">
        <v>26</v>
      </c>
      <c r="B32" s="38" t="s">
        <v>87</v>
      </c>
      <c r="C32" s="55" t="s">
        <v>88</v>
      </c>
      <c r="D32" s="297"/>
      <c r="E32" s="247"/>
      <c r="F32" s="37"/>
      <c r="G32" s="37">
        <f t="shared" si="0"/>
        <v>0</v>
      </c>
      <c r="H32" s="62">
        <f t="shared" si="1"/>
        <v>0</v>
      </c>
      <c r="I32" s="61"/>
      <c r="J32" s="70">
        <f t="shared" si="2"/>
      </c>
      <c r="K32" s="37"/>
      <c r="L32" s="62">
        <f t="shared" si="3"/>
        <v>0</v>
      </c>
    </row>
    <row r="33" spans="1:12" ht="15">
      <c r="A33" s="39">
        <v>27</v>
      </c>
      <c r="B33" s="38" t="s">
        <v>89</v>
      </c>
      <c r="C33" s="55" t="s">
        <v>90</v>
      </c>
      <c r="D33" s="297"/>
      <c r="E33" s="247"/>
      <c r="F33" s="37"/>
      <c r="G33" s="37">
        <f t="shared" si="0"/>
        <v>0</v>
      </c>
      <c r="H33" s="62">
        <f t="shared" si="1"/>
        <v>0</v>
      </c>
      <c r="I33" s="61"/>
      <c r="J33" s="70">
        <f t="shared" si="2"/>
      </c>
      <c r="K33" s="37"/>
      <c r="L33" s="62">
        <f t="shared" si="3"/>
        <v>0</v>
      </c>
    </row>
    <row r="34" spans="1:12" ht="15">
      <c r="A34" s="39">
        <v>28</v>
      </c>
      <c r="B34" s="38" t="s">
        <v>91</v>
      </c>
      <c r="C34" s="55" t="s">
        <v>92</v>
      </c>
      <c r="D34" s="297"/>
      <c r="E34" s="247"/>
      <c r="F34" s="37"/>
      <c r="G34" s="37">
        <f t="shared" si="0"/>
        <v>0</v>
      </c>
      <c r="H34" s="62">
        <f t="shared" si="1"/>
        <v>0</v>
      </c>
      <c r="I34" s="61"/>
      <c r="J34" s="70">
        <f t="shared" si="2"/>
      </c>
      <c r="K34" s="37"/>
      <c r="L34" s="62">
        <f t="shared" si="3"/>
        <v>0</v>
      </c>
    </row>
    <row r="35" spans="1:12" ht="15">
      <c r="A35" s="39">
        <v>29</v>
      </c>
      <c r="B35" s="38" t="s">
        <v>93</v>
      </c>
      <c r="C35" s="55" t="s">
        <v>94</v>
      </c>
      <c r="D35" s="297"/>
      <c r="E35" s="247"/>
      <c r="F35" s="37"/>
      <c r="G35" s="37">
        <f t="shared" si="0"/>
        <v>0</v>
      </c>
      <c r="H35" s="62">
        <f t="shared" si="1"/>
        <v>0</v>
      </c>
      <c r="I35" s="61"/>
      <c r="J35" s="70">
        <f t="shared" si="2"/>
      </c>
      <c r="K35" s="37"/>
      <c r="L35" s="62">
        <f t="shared" si="3"/>
        <v>0</v>
      </c>
    </row>
    <row r="36" spans="1:12" ht="15">
      <c r="A36" s="39">
        <v>30</v>
      </c>
      <c r="B36" s="38" t="s">
        <v>95</v>
      </c>
      <c r="C36" s="55" t="s">
        <v>96</v>
      </c>
      <c r="D36" s="297"/>
      <c r="E36" s="247"/>
      <c r="F36" s="37"/>
      <c r="G36" s="37">
        <f t="shared" si="0"/>
        <v>0</v>
      </c>
      <c r="H36" s="62">
        <f t="shared" si="1"/>
        <v>0</v>
      </c>
      <c r="I36" s="61"/>
      <c r="J36" s="70">
        <f t="shared" si="2"/>
      </c>
      <c r="K36" s="37"/>
      <c r="L36" s="62">
        <f t="shared" si="3"/>
        <v>0</v>
      </c>
    </row>
    <row r="37" spans="1:12" ht="15">
      <c r="A37" s="39">
        <v>31</v>
      </c>
      <c r="B37" s="38" t="s">
        <v>97</v>
      </c>
      <c r="C37" s="55" t="s">
        <v>98</v>
      </c>
      <c r="D37" s="297"/>
      <c r="E37" s="247"/>
      <c r="F37" s="37"/>
      <c r="G37" s="37">
        <f t="shared" si="0"/>
        <v>0</v>
      </c>
      <c r="H37" s="62">
        <f t="shared" si="1"/>
        <v>0</v>
      </c>
      <c r="I37" s="61"/>
      <c r="J37" s="70">
        <f t="shared" si="2"/>
      </c>
      <c r="K37" s="37"/>
      <c r="L37" s="62">
        <f t="shared" si="3"/>
        <v>0</v>
      </c>
    </row>
    <row r="38" spans="1:12" ht="15">
      <c r="A38" s="39">
        <v>32</v>
      </c>
      <c r="B38" s="38" t="s">
        <v>99</v>
      </c>
      <c r="C38" s="55" t="s">
        <v>100</v>
      </c>
      <c r="D38" s="297"/>
      <c r="E38" s="247"/>
      <c r="F38" s="37"/>
      <c r="G38" s="37">
        <f t="shared" si="0"/>
        <v>0</v>
      </c>
      <c r="H38" s="62">
        <f t="shared" si="1"/>
        <v>0</v>
      </c>
      <c r="I38" s="61"/>
      <c r="J38" s="70">
        <f t="shared" si="2"/>
      </c>
      <c r="K38" s="37"/>
      <c r="L38" s="62">
        <f t="shared" si="3"/>
        <v>0</v>
      </c>
    </row>
    <row r="39" spans="1:12" ht="15">
      <c r="A39" s="39">
        <v>33</v>
      </c>
      <c r="B39" s="38" t="s">
        <v>101</v>
      </c>
      <c r="C39" s="55" t="s">
        <v>102</v>
      </c>
      <c r="D39" s="297"/>
      <c r="E39" s="247"/>
      <c r="F39" s="37"/>
      <c r="G39" s="37">
        <f aca="true" t="shared" si="4" ref="G39:G70">+F39-D39</f>
        <v>0</v>
      </c>
      <c r="H39" s="62">
        <f aca="true" t="shared" si="5" ref="H39:H70">+F39-E39</f>
        <v>0</v>
      </c>
      <c r="I39" s="61"/>
      <c r="J39" s="70">
        <f aca="true" t="shared" si="6" ref="J39:J70">+IF(I39=0,"",F39/I39)</f>
      </c>
      <c r="K39" s="37"/>
      <c r="L39" s="62">
        <f t="shared" si="3"/>
        <v>0</v>
      </c>
    </row>
    <row r="40" spans="1:12" ht="15">
      <c r="A40" s="39">
        <v>34</v>
      </c>
      <c r="B40" s="38" t="s">
        <v>103</v>
      </c>
      <c r="C40" s="55" t="s">
        <v>104</v>
      </c>
      <c r="D40" s="297"/>
      <c r="E40" s="247"/>
      <c r="F40" s="37"/>
      <c r="G40" s="37">
        <f t="shared" si="4"/>
        <v>0</v>
      </c>
      <c r="H40" s="62">
        <f t="shared" si="5"/>
        <v>0</v>
      </c>
      <c r="I40" s="61"/>
      <c r="J40" s="70">
        <f t="shared" si="6"/>
      </c>
      <c r="K40" s="37"/>
      <c r="L40" s="62">
        <f t="shared" si="3"/>
        <v>0</v>
      </c>
    </row>
    <row r="41" spans="1:12" ht="15">
      <c r="A41" s="39">
        <v>35</v>
      </c>
      <c r="B41" s="38" t="s">
        <v>105</v>
      </c>
      <c r="C41" s="55" t="s">
        <v>106</v>
      </c>
      <c r="D41" s="297"/>
      <c r="E41" s="247"/>
      <c r="F41" s="37"/>
      <c r="G41" s="37">
        <f t="shared" si="4"/>
        <v>0</v>
      </c>
      <c r="H41" s="62">
        <f t="shared" si="5"/>
        <v>0</v>
      </c>
      <c r="I41" s="61"/>
      <c r="J41" s="70">
        <f t="shared" si="6"/>
      </c>
      <c r="K41" s="37"/>
      <c r="L41" s="62">
        <f t="shared" si="3"/>
        <v>0</v>
      </c>
    </row>
    <row r="42" spans="1:12" ht="15">
      <c r="A42" s="39">
        <v>36</v>
      </c>
      <c r="B42" s="38" t="s">
        <v>107</v>
      </c>
      <c r="C42" s="55" t="s">
        <v>108</v>
      </c>
      <c r="D42" s="297"/>
      <c r="E42" s="247"/>
      <c r="F42" s="37"/>
      <c r="G42" s="37">
        <f t="shared" si="4"/>
        <v>0</v>
      </c>
      <c r="H42" s="62">
        <f t="shared" si="5"/>
        <v>0</v>
      </c>
      <c r="I42" s="61"/>
      <c r="J42" s="70">
        <f t="shared" si="6"/>
      </c>
      <c r="K42" s="37"/>
      <c r="L42" s="62">
        <f t="shared" si="3"/>
        <v>0</v>
      </c>
    </row>
    <row r="43" spans="1:12" ht="15">
      <c r="A43" s="39">
        <v>37</v>
      </c>
      <c r="B43" s="38" t="s">
        <v>109</v>
      </c>
      <c r="C43" s="55" t="s">
        <v>110</v>
      </c>
      <c r="D43" s="297"/>
      <c r="E43" s="247"/>
      <c r="F43" s="37"/>
      <c r="G43" s="37">
        <f t="shared" si="4"/>
        <v>0</v>
      </c>
      <c r="H43" s="62">
        <f t="shared" si="5"/>
        <v>0</v>
      </c>
      <c r="I43" s="61"/>
      <c r="J43" s="70">
        <f t="shared" si="6"/>
      </c>
      <c r="K43" s="37"/>
      <c r="L43" s="62">
        <f t="shared" si="3"/>
        <v>0</v>
      </c>
    </row>
    <row r="44" spans="1:12" s="100" customFormat="1" ht="15.75">
      <c r="A44" s="51">
        <v>38</v>
      </c>
      <c r="B44" s="52" t="s">
        <v>178</v>
      </c>
      <c r="C44" s="54"/>
      <c r="D44" s="59">
        <f>SUM(D45:D49)</f>
        <v>0</v>
      </c>
      <c r="E44" s="53">
        <f>SUM(E45:E49)</f>
        <v>0</v>
      </c>
      <c r="F44" s="53">
        <f>SUM(F45:F49)</f>
        <v>0</v>
      </c>
      <c r="G44" s="53">
        <f t="shared" si="4"/>
        <v>0</v>
      </c>
      <c r="H44" s="60">
        <f t="shared" si="5"/>
        <v>0</v>
      </c>
      <c r="I44" s="59">
        <f>SUM(G44-E44)</f>
        <v>0</v>
      </c>
      <c r="J44" s="69">
        <f t="shared" si="6"/>
      </c>
      <c r="K44" s="53">
        <f>K45+K46+K47+K48+K49</f>
        <v>0</v>
      </c>
      <c r="L44" s="60">
        <f t="shared" si="3"/>
        <v>0</v>
      </c>
    </row>
    <row r="45" spans="1:12" ht="15">
      <c r="A45" s="39">
        <v>39</v>
      </c>
      <c r="B45" s="38" t="s">
        <v>111</v>
      </c>
      <c r="C45" s="55" t="s">
        <v>112</v>
      </c>
      <c r="D45" s="61"/>
      <c r="E45" s="37"/>
      <c r="F45" s="37"/>
      <c r="G45" s="37">
        <f t="shared" si="4"/>
        <v>0</v>
      </c>
      <c r="H45" s="62">
        <f t="shared" si="5"/>
        <v>0</v>
      </c>
      <c r="I45" s="61"/>
      <c r="J45" s="70">
        <f t="shared" si="6"/>
      </c>
      <c r="K45" s="37"/>
      <c r="L45" s="62">
        <f t="shared" si="3"/>
        <v>0</v>
      </c>
    </row>
    <row r="46" spans="1:12" ht="15">
      <c r="A46" s="39">
        <v>40</v>
      </c>
      <c r="B46" s="38" t="s">
        <v>113</v>
      </c>
      <c r="C46" s="55" t="s">
        <v>114</v>
      </c>
      <c r="D46" s="61"/>
      <c r="E46" s="37"/>
      <c r="F46" s="37"/>
      <c r="G46" s="37">
        <f t="shared" si="4"/>
        <v>0</v>
      </c>
      <c r="H46" s="62">
        <f t="shared" si="5"/>
        <v>0</v>
      </c>
      <c r="I46" s="61"/>
      <c r="J46" s="70">
        <f t="shared" si="6"/>
      </c>
      <c r="K46" s="37"/>
      <c r="L46" s="62">
        <f t="shared" si="3"/>
        <v>0</v>
      </c>
    </row>
    <row r="47" spans="1:12" ht="15">
      <c r="A47" s="39">
        <v>41</v>
      </c>
      <c r="B47" s="38" t="s">
        <v>115</v>
      </c>
      <c r="C47" s="55" t="s">
        <v>116</v>
      </c>
      <c r="D47" s="61"/>
      <c r="E47" s="37"/>
      <c r="F47" s="37"/>
      <c r="G47" s="37">
        <f t="shared" si="4"/>
        <v>0</v>
      </c>
      <c r="H47" s="62">
        <f t="shared" si="5"/>
        <v>0</v>
      </c>
      <c r="I47" s="61"/>
      <c r="J47" s="70">
        <f t="shared" si="6"/>
      </c>
      <c r="K47" s="37"/>
      <c r="L47" s="62">
        <f t="shared" si="3"/>
        <v>0</v>
      </c>
    </row>
    <row r="48" spans="1:12" ht="15">
      <c r="A48" s="39">
        <v>42</v>
      </c>
      <c r="B48" s="38" t="s">
        <v>117</v>
      </c>
      <c r="C48" s="55" t="s">
        <v>118</v>
      </c>
      <c r="D48" s="61"/>
      <c r="E48" s="37"/>
      <c r="F48" s="37"/>
      <c r="G48" s="37">
        <f t="shared" si="4"/>
        <v>0</v>
      </c>
      <c r="H48" s="62">
        <f t="shared" si="5"/>
        <v>0</v>
      </c>
      <c r="I48" s="61"/>
      <c r="J48" s="70">
        <f t="shared" si="6"/>
      </c>
      <c r="K48" s="37"/>
      <c r="L48" s="62">
        <f t="shared" si="3"/>
        <v>0</v>
      </c>
    </row>
    <row r="49" spans="1:12" ht="15">
      <c r="A49" s="39">
        <v>43</v>
      </c>
      <c r="B49" s="38" t="s">
        <v>119</v>
      </c>
      <c r="C49" s="55" t="s">
        <v>120</v>
      </c>
      <c r="D49" s="61"/>
      <c r="E49" s="37"/>
      <c r="F49" s="37"/>
      <c r="G49" s="37">
        <f t="shared" si="4"/>
        <v>0</v>
      </c>
      <c r="H49" s="62">
        <f t="shared" si="5"/>
        <v>0</v>
      </c>
      <c r="I49" s="61"/>
      <c r="J49" s="70">
        <f t="shared" si="6"/>
      </c>
      <c r="K49" s="37"/>
      <c r="L49" s="62">
        <f t="shared" si="3"/>
        <v>0</v>
      </c>
    </row>
    <row r="50" spans="1:12" s="100" customFormat="1" ht="15.75">
      <c r="A50" s="51">
        <v>44</v>
      </c>
      <c r="B50" s="52" t="s">
        <v>176</v>
      </c>
      <c r="C50" s="54"/>
      <c r="D50" s="59">
        <f>SUM(D51:D52)</f>
        <v>0</v>
      </c>
      <c r="E50" s="53">
        <f>SUM(E51:E52)</f>
        <v>0</v>
      </c>
      <c r="F50" s="53">
        <f>SUM(F51:F52)</f>
        <v>0</v>
      </c>
      <c r="G50" s="53">
        <f t="shared" si="4"/>
        <v>0</v>
      </c>
      <c r="H50" s="60">
        <f t="shared" si="5"/>
        <v>0</v>
      </c>
      <c r="I50" s="59">
        <f>SUM(G50-E50)</f>
        <v>0</v>
      </c>
      <c r="J50" s="69">
        <f t="shared" si="6"/>
      </c>
      <c r="K50" s="53">
        <f>K51+K52</f>
        <v>0</v>
      </c>
      <c r="L50" s="60">
        <f t="shared" si="3"/>
        <v>0</v>
      </c>
    </row>
    <row r="51" spans="1:12" ht="15">
      <c r="A51" s="39">
        <v>45</v>
      </c>
      <c r="B51" s="38" t="s">
        <v>121</v>
      </c>
      <c r="C51" s="55" t="s">
        <v>122</v>
      </c>
      <c r="D51" s="61"/>
      <c r="E51" s="37"/>
      <c r="F51" s="37"/>
      <c r="G51" s="37">
        <f t="shared" si="4"/>
        <v>0</v>
      </c>
      <c r="H51" s="62">
        <f t="shared" si="5"/>
        <v>0</v>
      </c>
      <c r="I51" s="61"/>
      <c r="J51" s="70">
        <f t="shared" si="6"/>
      </c>
      <c r="K51" s="37">
        <v>0</v>
      </c>
      <c r="L51" s="62">
        <f t="shared" si="3"/>
        <v>0</v>
      </c>
    </row>
    <row r="52" spans="1:12" ht="15">
      <c r="A52" s="39">
        <v>46</v>
      </c>
      <c r="B52" s="38" t="s">
        <v>123</v>
      </c>
      <c r="C52" s="55" t="s">
        <v>124</v>
      </c>
      <c r="D52" s="61"/>
      <c r="E52" s="37"/>
      <c r="F52" s="37">
        <v>0</v>
      </c>
      <c r="G52" s="37">
        <f t="shared" si="4"/>
        <v>0</v>
      </c>
      <c r="H52" s="62">
        <f t="shared" si="5"/>
        <v>0</v>
      </c>
      <c r="I52" s="61"/>
      <c r="J52" s="70">
        <f t="shared" si="6"/>
      </c>
      <c r="K52" s="37">
        <v>0</v>
      </c>
      <c r="L52" s="62">
        <f t="shared" si="3"/>
        <v>0</v>
      </c>
    </row>
    <row r="53" spans="1:12" s="100" customFormat="1" ht="15.75">
      <c r="A53" s="51">
        <v>47</v>
      </c>
      <c r="B53" s="52" t="s">
        <v>177</v>
      </c>
      <c r="C53" s="54"/>
      <c r="D53" s="59">
        <f>+D54+D55</f>
        <v>0</v>
      </c>
      <c r="E53" s="53">
        <f>+E54+E55</f>
        <v>0</v>
      </c>
      <c r="F53" s="53">
        <f>SUM(F54:F55)</f>
        <v>0</v>
      </c>
      <c r="G53" s="53">
        <f t="shared" si="4"/>
        <v>0</v>
      </c>
      <c r="H53" s="60">
        <f t="shared" si="5"/>
        <v>0</v>
      </c>
      <c r="I53" s="59">
        <f>SUM(G53-E53)</f>
        <v>0</v>
      </c>
      <c r="J53" s="69">
        <f t="shared" si="6"/>
      </c>
      <c r="K53" s="53">
        <f>+K54+K55</f>
        <v>0</v>
      </c>
      <c r="L53" s="60">
        <f t="shared" si="3"/>
        <v>0</v>
      </c>
    </row>
    <row r="54" spans="1:12" ht="15">
      <c r="A54" s="39">
        <v>48</v>
      </c>
      <c r="B54" s="38" t="s">
        <v>125</v>
      </c>
      <c r="C54" s="55" t="s">
        <v>126</v>
      </c>
      <c r="D54" s="61"/>
      <c r="E54" s="37"/>
      <c r="F54" s="37"/>
      <c r="G54" s="37">
        <f t="shared" si="4"/>
        <v>0</v>
      </c>
      <c r="H54" s="62">
        <f t="shared" si="5"/>
        <v>0</v>
      </c>
      <c r="I54" s="61"/>
      <c r="J54" s="70">
        <f t="shared" si="6"/>
      </c>
      <c r="K54" s="37"/>
      <c r="L54" s="62">
        <f t="shared" si="3"/>
        <v>0</v>
      </c>
    </row>
    <row r="55" spans="1:12" ht="15.75" thickBot="1">
      <c r="A55" s="40">
        <v>49</v>
      </c>
      <c r="B55" s="41" t="s">
        <v>127</v>
      </c>
      <c r="C55" s="56" t="s">
        <v>128</v>
      </c>
      <c r="D55" s="63"/>
      <c r="E55" s="42"/>
      <c r="F55" s="42"/>
      <c r="G55" s="42">
        <f t="shared" si="4"/>
        <v>0</v>
      </c>
      <c r="H55" s="64">
        <f t="shared" si="5"/>
        <v>0</v>
      </c>
      <c r="I55" s="63"/>
      <c r="J55" s="71">
        <f t="shared" si="6"/>
      </c>
      <c r="K55" s="42">
        <v>0</v>
      </c>
      <c r="L55" s="64">
        <f t="shared" si="3"/>
        <v>0</v>
      </c>
    </row>
    <row r="56" spans="1:12" s="101" customFormat="1" ht="18.75">
      <c r="A56" s="47">
        <v>50</v>
      </c>
      <c r="B56" s="48" t="s">
        <v>181</v>
      </c>
      <c r="C56" s="57" t="s">
        <v>40</v>
      </c>
      <c r="D56" s="65">
        <f>D57+D72+D78</f>
        <v>601397</v>
      </c>
      <c r="E56" s="49">
        <f>E57+E72+E78</f>
        <v>487832</v>
      </c>
      <c r="F56" s="49">
        <f>F57+F72+F78</f>
        <v>520779</v>
      </c>
      <c r="G56" s="49">
        <f t="shared" si="4"/>
        <v>-80618</v>
      </c>
      <c r="H56" s="66">
        <f t="shared" si="5"/>
        <v>32947</v>
      </c>
      <c r="I56" s="65">
        <f>SUM(G56-E56)</f>
        <v>-568450</v>
      </c>
      <c r="J56" s="50">
        <f t="shared" si="6"/>
        <v>-0.9161386225701469</v>
      </c>
      <c r="K56" s="49">
        <f>K57+K72+K78</f>
        <v>0</v>
      </c>
      <c r="L56" s="66">
        <f t="shared" si="3"/>
        <v>568450</v>
      </c>
    </row>
    <row r="57" spans="1:12" s="100" customFormat="1" ht="15.75">
      <c r="A57" s="51">
        <v>51</v>
      </c>
      <c r="B57" s="52" t="s">
        <v>182</v>
      </c>
      <c r="C57" s="54"/>
      <c r="D57" s="59">
        <f>D58+D59+D60+D61+D62+D63+D64+D65+D66+D67+D68+D69+D70+D71</f>
        <v>601397</v>
      </c>
      <c r="E57" s="53">
        <f>E58+E59+E60+E61+E62+E63+E64+E65+E66+E67+E68+E69+E70+E71</f>
        <v>487832</v>
      </c>
      <c r="F57" s="53">
        <f>F58+F59+F60+F61+F62+F63+F64+F65+F66+F67+F68+F69+F70+F71</f>
        <v>520779</v>
      </c>
      <c r="G57" s="53">
        <f t="shared" si="4"/>
        <v>-80618</v>
      </c>
      <c r="H57" s="60">
        <f t="shared" si="5"/>
        <v>32947</v>
      </c>
      <c r="I57" s="59">
        <f>SUM(G57-E57)</f>
        <v>-568450</v>
      </c>
      <c r="J57" s="69">
        <f t="shared" si="6"/>
        <v>-0.9161386225701469</v>
      </c>
      <c r="K57" s="53">
        <f>K58+K59+K60+K61+K62+K63+K64+K65+K66+K67+K68+K69+K70+K71</f>
        <v>0</v>
      </c>
      <c r="L57" s="60">
        <f t="shared" si="3"/>
        <v>568450</v>
      </c>
    </row>
    <row r="58" spans="1:12" ht="15">
      <c r="A58" s="39">
        <v>52</v>
      </c>
      <c r="B58" s="38" t="s">
        <v>129</v>
      </c>
      <c r="C58" s="55" t="s">
        <v>130</v>
      </c>
      <c r="D58" s="61"/>
      <c r="E58" s="37"/>
      <c r="F58" s="37"/>
      <c r="G58" s="37">
        <f t="shared" si="4"/>
        <v>0</v>
      </c>
      <c r="H58" s="62">
        <f t="shared" si="5"/>
        <v>0</v>
      </c>
      <c r="I58" s="61"/>
      <c r="J58" s="70">
        <f t="shared" si="6"/>
      </c>
      <c r="K58" s="37"/>
      <c r="L58" s="62">
        <f t="shared" si="3"/>
        <v>0</v>
      </c>
    </row>
    <row r="59" spans="1:12" ht="15">
      <c r="A59" s="39">
        <v>53</v>
      </c>
      <c r="B59" s="38" t="s">
        <v>131</v>
      </c>
      <c r="C59" s="55" t="s">
        <v>132</v>
      </c>
      <c r="D59" s="297">
        <v>2914</v>
      </c>
      <c r="E59" s="247">
        <v>32312</v>
      </c>
      <c r="F59" s="37"/>
      <c r="G59" s="37">
        <f t="shared" si="4"/>
        <v>-2914</v>
      </c>
      <c r="H59" s="62">
        <f t="shared" si="5"/>
        <v>-32312</v>
      </c>
      <c r="I59" s="61"/>
      <c r="J59" s="70">
        <f t="shared" si="6"/>
      </c>
      <c r="K59" s="37"/>
      <c r="L59" s="62">
        <f t="shared" si="3"/>
        <v>0</v>
      </c>
    </row>
    <row r="60" spans="1:12" ht="15">
      <c r="A60" s="39">
        <v>54</v>
      </c>
      <c r="B60" s="38" t="s">
        <v>133</v>
      </c>
      <c r="C60" s="55" t="s">
        <v>134</v>
      </c>
      <c r="D60" s="297"/>
      <c r="E60" s="247"/>
      <c r="F60" s="37"/>
      <c r="G60" s="37">
        <f t="shared" si="4"/>
        <v>0</v>
      </c>
      <c r="H60" s="62">
        <f t="shared" si="5"/>
        <v>0</v>
      </c>
      <c r="I60" s="61"/>
      <c r="J60" s="70">
        <f t="shared" si="6"/>
      </c>
      <c r="K60" s="37"/>
      <c r="L60" s="62">
        <f t="shared" si="3"/>
        <v>0</v>
      </c>
    </row>
    <row r="61" spans="1:12" ht="15">
      <c r="A61" s="39">
        <v>55</v>
      </c>
      <c r="B61" s="38" t="s">
        <v>135</v>
      </c>
      <c r="C61" s="55" t="s">
        <v>136</v>
      </c>
      <c r="D61" s="297">
        <v>598483</v>
      </c>
      <c r="E61" s="247">
        <v>455520</v>
      </c>
      <c r="F61" s="37">
        <v>520779</v>
      </c>
      <c r="G61" s="37">
        <f t="shared" si="4"/>
        <v>-77704</v>
      </c>
      <c r="H61" s="62">
        <f t="shared" si="5"/>
        <v>65259</v>
      </c>
      <c r="I61" s="61"/>
      <c r="J61" s="70">
        <f t="shared" si="6"/>
      </c>
      <c r="K61" s="37"/>
      <c r="L61" s="62">
        <f t="shared" si="3"/>
        <v>0</v>
      </c>
    </row>
    <row r="62" spans="1:12" ht="15">
      <c r="A62" s="39">
        <v>56</v>
      </c>
      <c r="B62" s="38" t="s">
        <v>137</v>
      </c>
      <c r="C62" s="55" t="s">
        <v>138</v>
      </c>
      <c r="D62" s="61"/>
      <c r="E62" s="37"/>
      <c r="F62" s="37"/>
      <c r="G62" s="37">
        <f t="shared" si="4"/>
        <v>0</v>
      </c>
      <c r="H62" s="62">
        <f t="shared" si="5"/>
        <v>0</v>
      </c>
      <c r="I62" s="61"/>
      <c r="J62" s="70">
        <f t="shared" si="6"/>
      </c>
      <c r="K62" s="37"/>
      <c r="L62" s="62">
        <f t="shared" si="3"/>
        <v>0</v>
      </c>
    </row>
    <row r="63" spans="1:12" ht="15">
      <c r="A63" s="39">
        <v>57</v>
      </c>
      <c r="B63" s="38" t="s">
        <v>81</v>
      </c>
      <c r="C63" s="55" t="s">
        <v>139</v>
      </c>
      <c r="D63" s="61"/>
      <c r="E63" s="37"/>
      <c r="F63" s="37"/>
      <c r="G63" s="37">
        <f t="shared" si="4"/>
        <v>0</v>
      </c>
      <c r="H63" s="62">
        <f t="shared" si="5"/>
        <v>0</v>
      </c>
      <c r="I63" s="61"/>
      <c r="J63" s="70">
        <f t="shared" si="6"/>
      </c>
      <c r="K63" s="37"/>
      <c r="L63" s="62">
        <f t="shared" si="3"/>
        <v>0</v>
      </c>
    </row>
    <row r="64" spans="1:12" ht="15">
      <c r="A64" s="39">
        <v>58</v>
      </c>
      <c r="B64" s="38" t="s">
        <v>83</v>
      </c>
      <c r="C64" s="55" t="s">
        <v>140</v>
      </c>
      <c r="D64" s="61"/>
      <c r="E64" s="37"/>
      <c r="F64" s="37"/>
      <c r="G64" s="37">
        <f t="shared" si="4"/>
        <v>0</v>
      </c>
      <c r="H64" s="62">
        <f t="shared" si="5"/>
        <v>0</v>
      </c>
      <c r="I64" s="61"/>
      <c r="J64" s="70">
        <f t="shared" si="6"/>
      </c>
      <c r="K64" s="37"/>
      <c r="L64" s="62">
        <f t="shared" si="3"/>
        <v>0</v>
      </c>
    </row>
    <row r="65" spans="1:12" ht="15">
      <c r="A65" s="39">
        <v>59</v>
      </c>
      <c r="B65" s="38" t="s">
        <v>141</v>
      </c>
      <c r="C65" s="55" t="s">
        <v>142</v>
      </c>
      <c r="D65" s="61"/>
      <c r="E65" s="37"/>
      <c r="F65" s="37"/>
      <c r="G65" s="37">
        <f t="shared" si="4"/>
        <v>0</v>
      </c>
      <c r="H65" s="62">
        <f t="shared" si="5"/>
        <v>0</v>
      </c>
      <c r="I65" s="61"/>
      <c r="J65" s="70">
        <f t="shared" si="6"/>
      </c>
      <c r="K65" s="37"/>
      <c r="L65" s="62">
        <f t="shared" si="3"/>
        <v>0</v>
      </c>
    </row>
    <row r="66" spans="1:12" ht="15">
      <c r="A66" s="39">
        <v>60</v>
      </c>
      <c r="B66" s="38" t="s">
        <v>143</v>
      </c>
      <c r="C66" s="55" t="s">
        <v>144</v>
      </c>
      <c r="D66" s="61"/>
      <c r="E66" s="37"/>
      <c r="F66" s="37"/>
      <c r="G66" s="37">
        <f t="shared" si="4"/>
        <v>0</v>
      </c>
      <c r="H66" s="62">
        <f t="shared" si="5"/>
        <v>0</v>
      </c>
      <c r="I66" s="61"/>
      <c r="J66" s="70">
        <f t="shared" si="6"/>
      </c>
      <c r="K66" s="37"/>
      <c r="L66" s="62">
        <f t="shared" si="3"/>
        <v>0</v>
      </c>
    </row>
    <row r="67" spans="1:12" ht="15">
      <c r="A67" s="39">
        <v>61</v>
      </c>
      <c r="B67" s="38" t="s">
        <v>145</v>
      </c>
      <c r="C67" s="55" t="s">
        <v>146</v>
      </c>
      <c r="D67" s="61"/>
      <c r="E67" s="37"/>
      <c r="F67" s="37"/>
      <c r="G67" s="37">
        <f t="shared" si="4"/>
        <v>0</v>
      </c>
      <c r="H67" s="62">
        <f t="shared" si="5"/>
        <v>0</v>
      </c>
      <c r="I67" s="61"/>
      <c r="J67" s="70">
        <f t="shared" si="6"/>
      </c>
      <c r="K67" s="37"/>
      <c r="L67" s="62">
        <f t="shared" si="3"/>
        <v>0</v>
      </c>
    </row>
    <row r="68" spans="1:12" ht="15">
      <c r="A68" s="39">
        <v>62</v>
      </c>
      <c r="B68" s="38" t="s">
        <v>183</v>
      </c>
      <c r="C68" s="55" t="s">
        <v>147</v>
      </c>
      <c r="D68" s="61"/>
      <c r="E68" s="37"/>
      <c r="F68" s="37"/>
      <c r="G68" s="37">
        <f t="shared" si="4"/>
        <v>0</v>
      </c>
      <c r="H68" s="62">
        <f t="shared" si="5"/>
        <v>0</v>
      </c>
      <c r="I68" s="61"/>
      <c r="J68" s="70">
        <f t="shared" si="6"/>
      </c>
      <c r="K68" s="37"/>
      <c r="L68" s="62">
        <f t="shared" si="3"/>
        <v>0</v>
      </c>
    </row>
    <row r="69" spans="1:12" ht="15">
      <c r="A69" s="39">
        <v>63</v>
      </c>
      <c r="B69" s="38" t="s">
        <v>148</v>
      </c>
      <c r="C69" s="55" t="s">
        <v>149</v>
      </c>
      <c r="D69" s="61"/>
      <c r="E69" s="37"/>
      <c r="F69" s="37"/>
      <c r="G69" s="37">
        <f t="shared" si="4"/>
        <v>0</v>
      </c>
      <c r="H69" s="62">
        <f t="shared" si="5"/>
        <v>0</v>
      </c>
      <c r="I69" s="61"/>
      <c r="J69" s="70">
        <f t="shared" si="6"/>
      </c>
      <c r="K69" s="37"/>
      <c r="L69" s="62">
        <f t="shared" si="3"/>
        <v>0</v>
      </c>
    </row>
    <row r="70" spans="1:12" ht="15">
      <c r="A70" s="39">
        <v>64</v>
      </c>
      <c r="B70" s="38" t="s">
        <v>150</v>
      </c>
      <c r="C70" s="55" t="s">
        <v>151</v>
      </c>
      <c r="D70" s="61"/>
      <c r="E70" s="37"/>
      <c r="F70" s="37"/>
      <c r="G70" s="37">
        <f t="shared" si="4"/>
        <v>0</v>
      </c>
      <c r="H70" s="62">
        <f t="shared" si="5"/>
        <v>0</v>
      </c>
      <c r="I70" s="61"/>
      <c r="J70" s="70">
        <f t="shared" si="6"/>
      </c>
      <c r="K70" s="37"/>
      <c r="L70" s="62">
        <f t="shared" si="3"/>
        <v>0</v>
      </c>
    </row>
    <row r="71" spans="1:12" ht="15">
      <c r="A71" s="39">
        <v>65</v>
      </c>
      <c r="B71" s="38" t="s">
        <v>152</v>
      </c>
      <c r="C71" s="55" t="s">
        <v>153</v>
      </c>
      <c r="D71" s="61"/>
      <c r="E71" s="37"/>
      <c r="F71" s="37"/>
      <c r="G71" s="37">
        <f aca="true" t="shared" si="7" ref="G71:G78">+F71-D71</f>
        <v>0</v>
      </c>
      <c r="H71" s="62">
        <f aca="true" t="shared" si="8" ref="H71:H78">+F71-E71</f>
        <v>0</v>
      </c>
      <c r="I71" s="61"/>
      <c r="J71" s="70">
        <f aca="true" t="shared" si="9" ref="J71:J82">+IF(I71=0,"",F71/I71)</f>
      </c>
      <c r="K71" s="37"/>
      <c r="L71" s="62">
        <f t="shared" si="3"/>
        <v>0</v>
      </c>
    </row>
    <row r="72" spans="1:12" s="100" customFormat="1" ht="15.75">
      <c r="A72" s="51">
        <v>66</v>
      </c>
      <c r="B72" s="52" t="s">
        <v>184</v>
      </c>
      <c r="C72" s="54"/>
      <c r="D72" s="59">
        <f>D73+D74+D75+D76+D77</f>
        <v>0</v>
      </c>
      <c r="E72" s="53">
        <f>E73+E74+E75+E76+E77</f>
        <v>0</v>
      </c>
      <c r="F72" s="53">
        <f>F73+F74+F75+F76+F77</f>
        <v>0</v>
      </c>
      <c r="G72" s="53">
        <f t="shared" si="7"/>
        <v>0</v>
      </c>
      <c r="H72" s="60">
        <f t="shared" si="8"/>
        <v>0</v>
      </c>
      <c r="I72" s="59">
        <f>SUM(G72-E72)</f>
        <v>0</v>
      </c>
      <c r="J72" s="69">
        <f t="shared" si="9"/>
      </c>
      <c r="K72" s="53">
        <f>K73+K74+K75+K76+K77</f>
        <v>0</v>
      </c>
      <c r="L72" s="60">
        <f aca="true" t="shared" si="10" ref="L72:L82">+K72-I72</f>
        <v>0</v>
      </c>
    </row>
    <row r="73" spans="1:12" ht="15">
      <c r="A73" s="39">
        <v>67</v>
      </c>
      <c r="B73" s="38" t="s">
        <v>154</v>
      </c>
      <c r="C73" s="55" t="s">
        <v>155</v>
      </c>
      <c r="D73" s="61"/>
      <c r="E73" s="37"/>
      <c r="F73" s="37"/>
      <c r="G73" s="37">
        <f t="shared" si="7"/>
        <v>0</v>
      </c>
      <c r="H73" s="62">
        <f t="shared" si="8"/>
        <v>0</v>
      </c>
      <c r="I73" s="61"/>
      <c r="J73" s="70">
        <f t="shared" si="9"/>
      </c>
      <c r="K73" s="37"/>
      <c r="L73" s="62">
        <f t="shared" si="10"/>
        <v>0</v>
      </c>
    </row>
    <row r="74" spans="1:12" ht="15">
      <c r="A74" s="39">
        <v>68</v>
      </c>
      <c r="B74" s="38" t="s">
        <v>113</v>
      </c>
      <c r="C74" s="55" t="s">
        <v>156</v>
      </c>
      <c r="D74" s="61"/>
      <c r="E74" s="37"/>
      <c r="F74" s="37"/>
      <c r="G74" s="37">
        <f t="shared" si="7"/>
        <v>0</v>
      </c>
      <c r="H74" s="62">
        <f t="shared" si="8"/>
        <v>0</v>
      </c>
      <c r="I74" s="61"/>
      <c r="J74" s="70">
        <f t="shared" si="9"/>
      </c>
      <c r="K74" s="37"/>
      <c r="L74" s="62">
        <f t="shared" si="10"/>
        <v>0</v>
      </c>
    </row>
    <row r="75" spans="1:12" ht="15">
      <c r="A75" s="39">
        <v>69</v>
      </c>
      <c r="B75" s="38" t="s">
        <v>157</v>
      </c>
      <c r="C75" s="55" t="s">
        <v>158</v>
      </c>
      <c r="D75" s="61"/>
      <c r="E75" s="37"/>
      <c r="F75" s="37"/>
      <c r="G75" s="37">
        <f t="shared" si="7"/>
        <v>0</v>
      </c>
      <c r="H75" s="62">
        <f t="shared" si="8"/>
        <v>0</v>
      </c>
      <c r="I75" s="61"/>
      <c r="J75" s="70">
        <f t="shared" si="9"/>
      </c>
      <c r="K75" s="37"/>
      <c r="L75" s="62">
        <f t="shared" si="10"/>
        <v>0</v>
      </c>
    </row>
    <row r="76" spans="1:12" ht="15">
      <c r="A76" s="39">
        <v>70</v>
      </c>
      <c r="B76" s="38" t="s">
        <v>159</v>
      </c>
      <c r="C76" s="55" t="s">
        <v>160</v>
      </c>
      <c r="D76" s="61"/>
      <c r="E76" s="37"/>
      <c r="F76" s="37"/>
      <c r="G76" s="37">
        <f t="shared" si="7"/>
        <v>0</v>
      </c>
      <c r="H76" s="62">
        <f t="shared" si="8"/>
        <v>0</v>
      </c>
      <c r="I76" s="61"/>
      <c r="J76" s="70">
        <f t="shared" si="9"/>
      </c>
      <c r="K76" s="37"/>
      <c r="L76" s="62">
        <f t="shared" si="10"/>
        <v>0</v>
      </c>
    </row>
    <row r="77" spans="1:12" ht="15">
      <c r="A77" s="39">
        <v>71</v>
      </c>
      <c r="B77" s="38" t="s">
        <v>161</v>
      </c>
      <c r="C77" s="55" t="s">
        <v>162</v>
      </c>
      <c r="D77" s="61"/>
      <c r="E77" s="37"/>
      <c r="F77" s="37"/>
      <c r="G77" s="37">
        <f t="shared" si="7"/>
        <v>0</v>
      </c>
      <c r="H77" s="62">
        <f t="shared" si="8"/>
        <v>0</v>
      </c>
      <c r="I77" s="61"/>
      <c r="J77" s="70">
        <f t="shared" si="9"/>
      </c>
      <c r="K77" s="37"/>
      <c r="L77" s="62">
        <f t="shared" si="10"/>
        <v>0</v>
      </c>
    </row>
    <row r="78" spans="1:12" s="100" customFormat="1" ht="15.75">
      <c r="A78" s="51">
        <v>72</v>
      </c>
      <c r="B78" s="52" t="s">
        <v>185</v>
      </c>
      <c r="C78" s="54"/>
      <c r="D78" s="59">
        <f>+D79+D80</f>
        <v>0</v>
      </c>
      <c r="E78" s="53">
        <f>E79+E80</f>
        <v>0</v>
      </c>
      <c r="F78" s="53">
        <f>F79+F80</f>
        <v>0</v>
      </c>
      <c r="G78" s="53">
        <f t="shared" si="7"/>
        <v>0</v>
      </c>
      <c r="H78" s="60">
        <f t="shared" si="8"/>
        <v>0</v>
      </c>
      <c r="I78" s="59">
        <f>SUM(G78-E78)</f>
        <v>0</v>
      </c>
      <c r="J78" s="69">
        <f t="shared" si="9"/>
      </c>
      <c r="K78" s="53">
        <f>K79+K80</f>
        <v>0</v>
      </c>
      <c r="L78" s="60">
        <f t="shared" si="10"/>
        <v>0</v>
      </c>
    </row>
    <row r="79" spans="1:12" ht="15">
      <c r="A79" s="39">
        <v>73</v>
      </c>
      <c r="B79" s="38" t="s">
        <v>163</v>
      </c>
      <c r="C79" s="55" t="s">
        <v>164</v>
      </c>
      <c r="D79" s="61"/>
      <c r="E79" s="37"/>
      <c r="F79" s="37"/>
      <c r="G79" s="37"/>
      <c r="H79" s="62"/>
      <c r="I79" s="61"/>
      <c r="J79" s="70">
        <f t="shared" si="9"/>
      </c>
      <c r="K79" s="37"/>
      <c r="L79" s="62"/>
    </row>
    <row r="80" spans="1:12" ht="15.75" thickBot="1">
      <c r="A80" s="40">
        <v>74</v>
      </c>
      <c r="B80" s="41" t="s">
        <v>165</v>
      </c>
      <c r="C80" s="56" t="s">
        <v>166</v>
      </c>
      <c r="D80" s="63"/>
      <c r="E80" s="42"/>
      <c r="F80" s="42"/>
      <c r="G80" s="42">
        <f>+F80-D80</f>
        <v>0</v>
      </c>
      <c r="H80" s="64">
        <f>+F80-E80</f>
        <v>0</v>
      </c>
      <c r="I80" s="63">
        <f>SUM(G80-E80)</f>
        <v>0</v>
      </c>
      <c r="J80" s="71">
        <f t="shared" si="9"/>
      </c>
      <c r="K80" s="42"/>
      <c r="L80" s="64">
        <f t="shared" si="10"/>
        <v>0</v>
      </c>
    </row>
    <row r="81" spans="1:12" s="89" customFormat="1" ht="27.75" customHeight="1" thickBot="1">
      <c r="A81" s="43">
        <v>75</v>
      </c>
      <c r="B81" s="44" t="s">
        <v>186</v>
      </c>
      <c r="C81" s="58" t="s">
        <v>40</v>
      </c>
      <c r="D81" s="67">
        <f>D56-D8-D44-D50</f>
        <v>31410</v>
      </c>
      <c r="E81" s="45">
        <f>E56-E8-E44-E50</f>
        <v>44847</v>
      </c>
      <c r="F81" s="45">
        <f>F56-F8-F44-F50</f>
        <v>4553</v>
      </c>
      <c r="G81" s="45">
        <f>+F81-D81</f>
        <v>-26857</v>
      </c>
      <c r="H81" s="68">
        <f>+F81-E81</f>
        <v>-40294</v>
      </c>
      <c r="I81" s="67">
        <f>SUM(G81-E81)</f>
        <v>-71704</v>
      </c>
      <c r="J81" s="46">
        <f t="shared" si="9"/>
        <v>-0.06349715497043401</v>
      </c>
      <c r="K81" s="45">
        <f>K56-K8-K44-K50</f>
        <v>0</v>
      </c>
      <c r="L81" s="68">
        <f t="shared" si="10"/>
        <v>71704</v>
      </c>
    </row>
    <row r="82" spans="1:12" s="89" customFormat="1" ht="27.75" customHeight="1" thickBot="1">
      <c r="A82" s="43">
        <v>76</v>
      </c>
      <c r="B82" s="292" t="s">
        <v>347</v>
      </c>
      <c r="C82" s="58"/>
      <c r="D82" s="67">
        <f>D56-D7</f>
        <v>31410</v>
      </c>
      <c r="E82" s="45">
        <f>E56-E7</f>
        <v>44847</v>
      </c>
      <c r="F82" s="45">
        <f>F56-F7</f>
        <v>4553</v>
      </c>
      <c r="G82" s="45">
        <f>+F82-D82</f>
        <v>-26857</v>
      </c>
      <c r="H82" s="68">
        <f>+F82-E82</f>
        <v>-40294</v>
      </c>
      <c r="I82" s="67">
        <f>SUM(G82-E82)</f>
        <v>-71704</v>
      </c>
      <c r="J82" s="46">
        <f t="shared" si="9"/>
        <v>-0.06349715497043401</v>
      </c>
      <c r="K82" s="45">
        <f>K56-K7</f>
        <v>0</v>
      </c>
      <c r="L82" s="68">
        <f t="shared" si="10"/>
        <v>71704</v>
      </c>
    </row>
    <row r="83" spans="1:12" ht="15">
      <c r="A83" s="32"/>
      <c r="B83" s="32"/>
      <c r="C83" s="32"/>
      <c r="D83" s="33"/>
      <c r="E83" s="33"/>
      <c r="F83" s="33"/>
      <c r="G83" s="34"/>
      <c r="H83" s="35"/>
      <c r="I83" s="35"/>
      <c r="J83" s="33"/>
      <c r="K83" s="32"/>
      <c r="L83" s="32"/>
    </row>
  </sheetData>
  <sheetProtection/>
  <mergeCells count="14">
    <mergeCell ref="A2:L2"/>
    <mergeCell ref="A4:A6"/>
    <mergeCell ref="B4:B6"/>
    <mergeCell ref="C4:C6"/>
    <mergeCell ref="D4:H4"/>
    <mergeCell ref="I4:L4"/>
    <mergeCell ref="G5:H5"/>
    <mergeCell ref="D5:D6"/>
    <mergeCell ref="E5:E6"/>
    <mergeCell ref="F5:F6"/>
    <mergeCell ref="I5:I6"/>
    <mergeCell ref="J5:J6"/>
    <mergeCell ref="K5:K6"/>
    <mergeCell ref="L5:L6"/>
  </mergeCells>
  <printOptions/>
  <pageMargins left="0.5511811023622047" right="0.15748031496062992" top="0.7480314960629921" bottom="0.3937007874015748" header="0.3937007874015748" footer="0.15748031496062992"/>
  <pageSetup fitToHeight="0" fitToWidth="1" horizontalDpi="600" verticalDpi="600" orientation="landscape" paperSize="8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56.8515625" style="3" customWidth="1"/>
    <col min="2" max="29" width="12.57421875" style="3" customWidth="1"/>
    <col min="30" max="16384" width="9.140625" style="3" customWidth="1"/>
  </cols>
  <sheetData>
    <row r="1" ht="16.5" thickBot="1">
      <c r="A1" s="217" t="s">
        <v>282</v>
      </c>
    </row>
    <row r="2" spans="1:29" ht="21" thickBot="1">
      <c r="A2" s="865" t="s">
        <v>312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7"/>
    </row>
    <row r="3" ht="15.75" thickBot="1"/>
    <row r="4" spans="1:29" ht="21" thickBot="1">
      <c r="A4" s="882" t="s">
        <v>307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4"/>
    </row>
    <row r="5" spans="1:29" s="225" customFormat="1" ht="15">
      <c r="A5" s="885" t="s">
        <v>310</v>
      </c>
      <c r="B5" s="887" t="s">
        <v>302</v>
      </c>
      <c r="C5" s="888"/>
      <c r="D5" s="888"/>
      <c r="E5" s="888"/>
      <c r="F5" s="888"/>
      <c r="G5" s="888"/>
      <c r="H5" s="889"/>
      <c r="I5" s="887" t="str">
        <f>+CONCATENATE(" do roku ",P5-1," vč.")</f>
        <v> do roku 2017 vč.</v>
      </c>
      <c r="J5" s="888"/>
      <c r="K5" s="888"/>
      <c r="L5" s="888"/>
      <c r="M5" s="888"/>
      <c r="N5" s="888"/>
      <c r="O5" s="889"/>
      <c r="P5" s="890">
        <f>+titul!E10</f>
        <v>2018</v>
      </c>
      <c r="Q5" s="891"/>
      <c r="R5" s="891"/>
      <c r="S5" s="891"/>
      <c r="T5" s="891"/>
      <c r="U5" s="891"/>
      <c r="V5" s="892"/>
      <c r="W5" s="888" t="str">
        <f>+CONCATENATE(" po roce ",P5)</f>
        <v> po roce 2018</v>
      </c>
      <c r="X5" s="888"/>
      <c r="Y5" s="888"/>
      <c r="Z5" s="888"/>
      <c r="AA5" s="888"/>
      <c r="AB5" s="888"/>
      <c r="AC5" s="889"/>
    </row>
    <row r="6" spans="1:29" ht="29.25" thickBot="1">
      <c r="A6" s="886"/>
      <c r="B6" s="222" t="s">
        <v>169</v>
      </c>
      <c r="C6" s="223" t="s">
        <v>300</v>
      </c>
      <c r="D6" s="223" t="s">
        <v>303</v>
      </c>
      <c r="E6" s="223" t="s">
        <v>305</v>
      </c>
      <c r="F6" s="223" t="s">
        <v>304</v>
      </c>
      <c r="G6" s="223" t="s">
        <v>306</v>
      </c>
      <c r="H6" s="224" t="s">
        <v>301</v>
      </c>
      <c r="I6" s="222" t="s">
        <v>169</v>
      </c>
      <c r="J6" s="223" t="s">
        <v>300</v>
      </c>
      <c r="K6" s="223" t="s">
        <v>303</v>
      </c>
      <c r="L6" s="223" t="s">
        <v>305</v>
      </c>
      <c r="M6" s="223" t="s">
        <v>304</v>
      </c>
      <c r="N6" s="223" t="s">
        <v>306</v>
      </c>
      <c r="O6" s="224" t="s">
        <v>301</v>
      </c>
      <c r="P6" s="222" t="s">
        <v>169</v>
      </c>
      <c r="Q6" s="223" t="s">
        <v>300</v>
      </c>
      <c r="R6" s="223" t="s">
        <v>303</v>
      </c>
      <c r="S6" s="223" t="s">
        <v>305</v>
      </c>
      <c r="T6" s="223" t="s">
        <v>304</v>
      </c>
      <c r="U6" s="223" t="s">
        <v>306</v>
      </c>
      <c r="V6" s="224" t="s">
        <v>301</v>
      </c>
      <c r="W6" s="223" t="s">
        <v>169</v>
      </c>
      <c r="X6" s="223" t="s">
        <v>300</v>
      </c>
      <c r="Y6" s="223" t="s">
        <v>303</v>
      </c>
      <c r="Z6" s="223" t="s">
        <v>305</v>
      </c>
      <c r="AA6" s="223" t="s">
        <v>304</v>
      </c>
      <c r="AB6" s="223" t="s">
        <v>306</v>
      </c>
      <c r="AC6" s="224" t="s">
        <v>301</v>
      </c>
    </row>
    <row r="7" spans="1:29" ht="15">
      <c r="A7" s="218"/>
      <c r="B7" s="226"/>
      <c r="C7" s="227"/>
      <c r="D7" s="227"/>
      <c r="E7" s="227"/>
      <c r="F7" s="227"/>
      <c r="G7" s="227"/>
      <c r="H7" s="228"/>
      <c r="I7" s="226"/>
      <c r="J7" s="227"/>
      <c r="K7" s="227"/>
      <c r="L7" s="227"/>
      <c r="M7" s="227"/>
      <c r="N7" s="227"/>
      <c r="O7" s="228"/>
      <c r="P7" s="226"/>
      <c r="Q7" s="227"/>
      <c r="R7" s="227"/>
      <c r="S7" s="227"/>
      <c r="T7" s="227"/>
      <c r="U7" s="227"/>
      <c r="V7" s="228"/>
      <c r="W7" s="229"/>
      <c r="X7" s="227"/>
      <c r="Y7" s="227"/>
      <c r="Z7" s="227"/>
      <c r="AA7" s="227"/>
      <c r="AB7" s="227"/>
      <c r="AC7" s="228"/>
    </row>
    <row r="8" spans="1:29" ht="15">
      <c r="A8" s="220"/>
      <c r="B8" s="230"/>
      <c r="C8" s="231"/>
      <c r="D8" s="231"/>
      <c r="E8" s="231"/>
      <c r="F8" s="231"/>
      <c r="G8" s="231"/>
      <c r="H8" s="232"/>
      <c r="I8" s="233"/>
      <c r="J8" s="231"/>
      <c r="K8" s="231"/>
      <c r="L8" s="231"/>
      <c r="M8" s="231"/>
      <c r="N8" s="231"/>
      <c r="O8" s="232"/>
      <c r="P8" s="233"/>
      <c r="Q8" s="231"/>
      <c r="R8" s="231"/>
      <c r="S8" s="231"/>
      <c r="T8" s="231"/>
      <c r="U8" s="231"/>
      <c r="V8" s="232"/>
      <c r="W8" s="234"/>
      <c r="X8" s="231"/>
      <c r="Y8" s="231"/>
      <c r="Z8" s="231"/>
      <c r="AA8" s="231"/>
      <c r="AB8" s="231"/>
      <c r="AC8" s="232"/>
    </row>
    <row r="9" spans="1:29" ht="15">
      <c r="A9" s="220"/>
      <c r="B9" s="230"/>
      <c r="C9" s="231"/>
      <c r="D9" s="231"/>
      <c r="E9" s="231"/>
      <c r="F9" s="231"/>
      <c r="G9" s="231"/>
      <c r="H9" s="232"/>
      <c r="I9" s="233"/>
      <c r="J9" s="231"/>
      <c r="K9" s="231"/>
      <c r="L9" s="231"/>
      <c r="M9" s="231"/>
      <c r="N9" s="231"/>
      <c r="O9" s="232"/>
      <c r="P9" s="233"/>
      <c r="Q9" s="231"/>
      <c r="R9" s="231"/>
      <c r="S9" s="231"/>
      <c r="T9" s="231"/>
      <c r="U9" s="231"/>
      <c r="V9" s="232"/>
      <c r="W9" s="234"/>
      <c r="X9" s="231"/>
      <c r="Y9" s="231"/>
      <c r="Z9" s="231"/>
      <c r="AA9" s="231"/>
      <c r="AB9" s="231"/>
      <c r="AC9" s="232"/>
    </row>
    <row r="10" spans="1:29" ht="15">
      <c r="A10" s="220"/>
      <c r="B10" s="230"/>
      <c r="C10" s="231"/>
      <c r="D10" s="231"/>
      <c r="E10" s="231"/>
      <c r="F10" s="231"/>
      <c r="G10" s="231"/>
      <c r="H10" s="232"/>
      <c r="I10" s="233"/>
      <c r="J10" s="231"/>
      <c r="K10" s="231"/>
      <c r="L10" s="231"/>
      <c r="M10" s="231"/>
      <c r="N10" s="231"/>
      <c r="O10" s="232"/>
      <c r="P10" s="233"/>
      <c r="Q10" s="231"/>
      <c r="R10" s="231"/>
      <c r="S10" s="231"/>
      <c r="T10" s="231"/>
      <c r="U10" s="231"/>
      <c r="V10" s="232"/>
      <c r="W10" s="234"/>
      <c r="X10" s="231"/>
      <c r="Y10" s="231"/>
      <c r="Z10" s="231"/>
      <c r="AA10" s="231"/>
      <c r="AB10" s="231"/>
      <c r="AC10" s="232"/>
    </row>
    <row r="11" spans="1:29" ht="15">
      <c r="A11" s="220"/>
      <c r="B11" s="233"/>
      <c r="C11" s="231"/>
      <c r="D11" s="231"/>
      <c r="E11" s="231"/>
      <c r="F11" s="231"/>
      <c r="G11" s="231"/>
      <c r="H11" s="232"/>
      <c r="I11" s="233"/>
      <c r="J11" s="231"/>
      <c r="K11" s="231"/>
      <c r="L11" s="231"/>
      <c r="M11" s="231"/>
      <c r="N11" s="231"/>
      <c r="O11" s="232"/>
      <c r="P11" s="233"/>
      <c r="Q11" s="231"/>
      <c r="R11" s="231"/>
      <c r="S11" s="231"/>
      <c r="T11" s="231"/>
      <c r="U11" s="231"/>
      <c r="V11" s="232"/>
      <c r="W11" s="234"/>
      <c r="X11" s="231"/>
      <c r="Y11" s="231"/>
      <c r="Z11" s="231"/>
      <c r="AA11" s="231"/>
      <c r="AB11" s="231"/>
      <c r="AC11" s="232"/>
    </row>
    <row r="12" spans="1:29" ht="15">
      <c r="A12" s="220"/>
      <c r="B12" s="233"/>
      <c r="C12" s="231"/>
      <c r="D12" s="231"/>
      <c r="E12" s="231"/>
      <c r="F12" s="231"/>
      <c r="G12" s="231"/>
      <c r="H12" s="232"/>
      <c r="I12" s="233"/>
      <c r="J12" s="231"/>
      <c r="K12" s="231"/>
      <c r="L12" s="231"/>
      <c r="M12" s="231"/>
      <c r="N12" s="231"/>
      <c r="O12" s="232"/>
      <c r="P12" s="233"/>
      <c r="Q12" s="231"/>
      <c r="R12" s="231"/>
      <c r="S12" s="231"/>
      <c r="T12" s="231"/>
      <c r="U12" s="231"/>
      <c r="V12" s="232"/>
      <c r="W12" s="234"/>
      <c r="X12" s="231"/>
      <c r="Y12" s="231"/>
      <c r="Z12" s="231"/>
      <c r="AA12" s="231"/>
      <c r="AB12" s="231"/>
      <c r="AC12" s="232"/>
    </row>
    <row r="13" spans="1:29" ht="15">
      <c r="A13" s="220"/>
      <c r="B13" s="233"/>
      <c r="C13" s="231"/>
      <c r="D13" s="231"/>
      <c r="E13" s="231"/>
      <c r="F13" s="231"/>
      <c r="G13" s="231"/>
      <c r="H13" s="232"/>
      <c r="I13" s="233"/>
      <c r="J13" s="231"/>
      <c r="K13" s="231"/>
      <c r="L13" s="231"/>
      <c r="M13" s="231"/>
      <c r="N13" s="231"/>
      <c r="O13" s="232"/>
      <c r="P13" s="233"/>
      <c r="Q13" s="231"/>
      <c r="R13" s="231"/>
      <c r="S13" s="231"/>
      <c r="T13" s="231"/>
      <c r="U13" s="231"/>
      <c r="V13" s="232"/>
      <c r="W13" s="234"/>
      <c r="X13" s="231"/>
      <c r="Y13" s="231"/>
      <c r="Z13" s="231"/>
      <c r="AA13" s="231"/>
      <c r="AB13" s="231"/>
      <c r="AC13" s="232"/>
    </row>
    <row r="14" spans="1:29" ht="15">
      <c r="A14" s="220"/>
      <c r="B14" s="233"/>
      <c r="C14" s="231"/>
      <c r="D14" s="231"/>
      <c r="E14" s="231"/>
      <c r="F14" s="231"/>
      <c r="G14" s="231"/>
      <c r="H14" s="232"/>
      <c r="I14" s="233"/>
      <c r="J14" s="231"/>
      <c r="K14" s="231"/>
      <c r="L14" s="231"/>
      <c r="M14" s="231"/>
      <c r="N14" s="231"/>
      <c r="O14" s="232"/>
      <c r="P14" s="233"/>
      <c r="Q14" s="231"/>
      <c r="R14" s="231"/>
      <c r="S14" s="231"/>
      <c r="T14" s="231"/>
      <c r="U14" s="231"/>
      <c r="V14" s="232"/>
      <c r="W14" s="234"/>
      <c r="X14" s="231"/>
      <c r="Y14" s="231"/>
      <c r="Z14" s="231"/>
      <c r="AA14" s="231"/>
      <c r="AB14" s="231"/>
      <c r="AC14" s="232"/>
    </row>
    <row r="15" spans="1:29" ht="15">
      <c r="A15" s="220"/>
      <c r="B15" s="233"/>
      <c r="C15" s="231"/>
      <c r="D15" s="231"/>
      <c r="E15" s="231"/>
      <c r="F15" s="231"/>
      <c r="G15" s="231"/>
      <c r="H15" s="232"/>
      <c r="I15" s="233"/>
      <c r="J15" s="231"/>
      <c r="K15" s="231"/>
      <c r="L15" s="231"/>
      <c r="M15" s="231"/>
      <c r="N15" s="231"/>
      <c r="O15" s="232"/>
      <c r="P15" s="233"/>
      <c r="Q15" s="231"/>
      <c r="R15" s="231"/>
      <c r="S15" s="231"/>
      <c r="T15" s="231"/>
      <c r="U15" s="231"/>
      <c r="V15" s="232"/>
      <c r="W15" s="234"/>
      <c r="X15" s="231"/>
      <c r="Y15" s="231"/>
      <c r="Z15" s="231"/>
      <c r="AA15" s="231"/>
      <c r="AB15" s="231"/>
      <c r="AC15" s="232"/>
    </row>
    <row r="16" spans="1:29" ht="15">
      <c r="A16" s="220"/>
      <c r="B16" s="230"/>
      <c r="C16" s="231"/>
      <c r="D16" s="231"/>
      <c r="E16" s="231"/>
      <c r="F16" s="231"/>
      <c r="G16" s="231"/>
      <c r="H16" s="232"/>
      <c r="I16" s="233"/>
      <c r="J16" s="231"/>
      <c r="K16" s="231"/>
      <c r="L16" s="231"/>
      <c r="M16" s="231"/>
      <c r="N16" s="231"/>
      <c r="O16" s="232"/>
      <c r="P16" s="233"/>
      <c r="Q16" s="231"/>
      <c r="R16" s="231"/>
      <c r="S16" s="231"/>
      <c r="T16" s="231"/>
      <c r="U16" s="231"/>
      <c r="V16" s="232"/>
      <c r="W16" s="234"/>
      <c r="X16" s="231"/>
      <c r="Y16" s="231"/>
      <c r="Z16" s="231"/>
      <c r="AA16" s="231"/>
      <c r="AB16" s="231"/>
      <c r="AC16" s="232"/>
    </row>
    <row r="17" spans="1:29" ht="15">
      <c r="A17" s="220"/>
      <c r="B17" s="230"/>
      <c r="C17" s="231"/>
      <c r="D17" s="231"/>
      <c r="E17" s="231"/>
      <c r="F17" s="231"/>
      <c r="G17" s="231"/>
      <c r="H17" s="232"/>
      <c r="I17" s="233"/>
      <c r="J17" s="231"/>
      <c r="K17" s="231"/>
      <c r="L17" s="231"/>
      <c r="M17" s="231"/>
      <c r="N17" s="231"/>
      <c r="O17" s="232"/>
      <c r="P17" s="233"/>
      <c r="Q17" s="231"/>
      <c r="R17" s="231"/>
      <c r="S17" s="231"/>
      <c r="T17" s="231"/>
      <c r="U17" s="231"/>
      <c r="V17" s="232"/>
      <c r="W17" s="234"/>
      <c r="X17" s="231"/>
      <c r="Y17" s="231"/>
      <c r="Z17" s="231"/>
      <c r="AA17" s="231"/>
      <c r="AB17" s="231"/>
      <c r="AC17" s="232"/>
    </row>
    <row r="18" spans="1:29" ht="15">
      <c r="A18" s="220"/>
      <c r="B18" s="230"/>
      <c r="C18" s="231"/>
      <c r="D18" s="231"/>
      <c r="E18" s="231"/>
      <c r="F18" s="231"/>
      <c r="G18" s="231"/>
      <c r="H18" s="232"/>
      <c r="I18" s="233"/>
      <c r="J18" s="231"/>
      <c r="K18" s="231"/>
      <c r="L18" s="231"/>
      <c r="M18" s="231"/>
      <c r="N18" s="231"/>
      <c r="O18" s="232"/>
      <c r="P18" s="233"/>
      <c r="Q18" s="231"/>
      <c r="R18" s="231"/>
      <c r="S18" s="231"/>
      <c r="T18" s="231"/>
      <c r="U18" s="231"/>
      <c r="V18" s="232"/>
      <c r="W18" s="234"/>
      <c r="X18" s="231"/>
      <c r="Y18" s="231"/>
      <c r="Z18" s="231"/>
      <c r="AA18" s="231"/>
      <c r="AB18" s="231"/>
      <c r="AC18" s="232"/>
    </row>
    <row r="19" spans="1:29" ht="15">
      <c r="A19" s="220"/>
      <c r="B19" s="230"/>
      <c r="C19" s="231"/>
      <c r="D19" s="231"/>
      <c r="E19" s="231"/>
      <c r="F19" s="231"/>
      <c r="G19" s="231"/>
      <c r="H19" s="232"/>
      <c r="I19" s="233"/>
      <c r="J19" s="231"/>
      <c r="K19" s="231"/>
      <c r="L19" s="231"/>
      <c r="M19" s="231"/>
      <c r="N19" s="231"/>
      <c r="O19" s="232"/>
      <c r="P19" s="233"/>
      <c r="Q19" s="231"/>
      <c r="R19" s="231"/>
      <c r="S19" s="231"/>
      <c r="T19" s="231"/>
      <c r="U19" s="231"/>
      <c r="V19" s="232"/>
      <c r="W19" s="234"/>
      <c r="X19" s="231"/>
      <c r="Y19" s="231"/>
      <c r="Z19" s="231"/>
      <c r="AA19" s="231"/>
      <c r="AB19" s="231"/>
      <c r="AC19" s="232"/>
    </row>
    <row r="20" spans="1:29" ht="15">
      <c r="A20" s="220"/>
      <c r="B20" s="230"/>
      <c r="C20" s="231"/>
      <c r="D20" s="231"/>
      <c r="E20" s="231"/>
      <c r="F20" s="231"/>
      <c r="G20" s="231"/>
      <c r="H20" s="232"/>
      <c r="I20" s="233"/>
      <c r="J20" s="231"/>
      <c r="K20" s="231"/>
      <c r="L20" s="231"/>
      <c r="M20" s="231"/>
      <c r="N20" s="231"/>
      <c r="O20" s="232"/>
      <c r="P20" s="233"/>
      <c r="Q20" s="231"/>
      <c r="R20" s="231"/>
      <c r="S20" s="231"/>
      <c r="T20" s="231"/>
      <c r="U20" s="231"/>
      <c r="V20" s="232"/>
      <c r="W20" s="234"/>
      <c r="X20" s="231"/>
      <c r="Y20" s="231"/>
      <c r="Z20" s="231"/>
      <c r="AA20" s="231"/>
      <c r="AB20" s="231"/>
      <c r="AC20" s="232"/>
    </row>
    <row r="21" spans="1:29" ht="15.75" thickBot="1">
      <c r="A21" s="221"/>
      <c r="B21" s="235"/>
      <c r="C21" s="236"/>
      <c r="D21" s="236"/>
      <c r="E21" s="236"/>
      <c r="F21" s="236"/>
      <c r="G21" s="236"/>
      <c r="H21" s="237"/>
      <c r="I21" s="235"/>
      <c r="J21" s="236"/>
      <c r="K21" s="236"/>
      <c r="L21" s="236"/>
      <c r="M21" s="236"/>
      <c r="N21" s="236"/>
      <c r="O21" s="237"/>
      <c r="P21" s="235"/>
      <c r="Q21" s="236"/>
      <c r="R21" s="236"/>
      <c r="S21" s="236"/>
      <c r="T21" s="236"/>
      <c r="U21" s="236"/>
      <c r="V21" s="237"/>
      <c r="W21" s="238"/>
      <c r="X21" s="236"/>
      <c r="Y21" s="236"/>
      <c r="Z21" s="236"/>
      <c r="AA21" s="236"/>
      <c r="AB21" s="236"/>
      <c r="AC21" s="237"/>
    </row>
    <row r="23" ht="15">
      <c r="A23" s="219" t="s">
        <v>299</v>
      </c>
    </row>
    <row r="25" ht="15.75" thickBot="1"/>
    <row r="26" spans="1:29" ht="21" thickBot="1">
      <c r="A26" s="882" t="s">
        <v>308</v>
      </c>
      <c r="B26" s="883"/>
      <c r="C26" s="883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3"/>
      <c r="X26" s="883"/>
      <c r="Y26" s="883"/>
      <c r="Z26" s="883"/>
      <c r="AA26" s="883"/>
      <c r="AB26" s="883"/>
      <c r="AC26" s="884"/>
    </row>
    <row r="27" spans="1:29" s="225" customFormat="1" ht="15">
      <c r="A27" s="885" t="s">
        <v>310</v>
      </c>
      <c r="B27" s="887" t="s">
        <v>309</v>
      </c>
      <c r="C27" s="888"/>
      <c r="D27" s="888"/>
      <c r="E27" s="888"/>
      <c r="F27" s="888"/>
      <c r="G27" s="888"/>
      <c r="H27" s="889"/>
      <c r="I27" s="887" t="str">
        <f>+I5</f>
        <v> do roku 2017 vč.</v>
      </c>
      <c r="J27" s="888"/>
      <c r="K27" s="888"/>
      <c r="L27" s="888"/>
      <c r="M27" s="888"/>
      <c r="N27" s="888"/>
      <c r="O27" s="889"/>
      <c r="P27" s="890">
        <f>+P5</f>
        <v>2018</v>
      </c>
      <c r="Q27" s="891"/>
      <c r="R27" s="891"/>
      <c r="S27" s="891"/>
      <c r="T27" s="891"/>
      <c r="U27" s="891"/>
      <c r="V27" s="892"/>
      <c r="W27" s="888" t="str">
        <f>+CONCATENATE(" po roce ",P27)</f>
        <v> po roce 2018</v>
      </c>
      <c r="X27" s="888"/>
      <c r="Y27" s="888"/>
      <c r="Z27" s="888"/>
      <c r="AA27" s="888"/>
      <c r="AB27" s="888"/>
      <c r="AC27" s="889"/>
    </row>
    <row r="28" spans="1:29" ht="29.25" thickBot="1">
      <c r="A28" s="886"/>
      <c r="B28" s="222" t="s">
        <v>169</v>
      </c>
      <c r="C28" s="223" t="s">
        <v>300</v>
      </c>
      <c r="D28" s="223" t="s">
        <v>303</v>
      </c>
      <c r="E28" s="223" t="s">
        <v>305</v>
      </c>
      <c r="F28" s="223" t="s">
        <v>304</v>
      </c>
      <c r="G28" s="223" t="s">
        <v>306</v>
      </c>
      <c r="H28" s="224" t="s">
        <v>301</v>
      </c>
      <c r="I28" s="222" t="s">
        <v>169</v>
      </c>
      <c r="J28" s="223" t="s">
        <v>300</v>
      </c>
      <c r="K28" s="223" t="s">
        <v>303</v>
      </c>
      <c r="L28" s="223" t="s">
        <v>305</v>
      </c>
      <c r="M28" s="223" t="s">
        <v>304</v>
      </c>
      <c r="N28" s="223" t="s">
        <v>306</v>
      </c>
      <c r="O28" s="224" t="s">
        <v>301</v>
      </c>
      <c r="P28" s="222" t="s">
        <v>169</v>
      </c>
      <c r="Q28" s="223" t="s">
        <v>300</v>
      </c>
      <c r="R28" s="223" t="s">
        <v>303</v>
      </c>
      <c r="S28" s="223" t="s">
        <v>305</v>
      </c>
      <c r="T28" s="223" t="s">
        <v>304</v>
      </c>
      <c r="U28" s="223" t="s">
        <v>306</v>
      </c>
      <c r="V28" s="224" t="s">
        <v>301</v>
      </c>
      <c r="W28" s="223" t="s">
        <v>169</v>
      </c>
      <c r="X28" s="223" t="s">
        <v>300</v>
      </c>
      <c r="Y28" s="223" t="s">
        <v>303</v>
      </c>
      <c r="Z28" s="223" t="s">
        <v>305</v>
      </c>
      <c r="AA28" s="223" t="s">
        <v>304</v>
      </c>
      <c r="AB28" s="223" t="s">
        <v>306</v>
      </c>
      <c r="AC28" s="224" t="s">
        <v>301</v>
      </c>
    </row>
    <row r="29" spans="1:29" ht="15">
      <c r="A29" s="218"/>
      <c r="B29" s="226"/>
      <c r="C29" s="227"/>
      <c r="D29" s="227"/>
      <c r="E29" s="227"/>
      <c r="F29" s="227"/>
      <c r="G29" s="227"/>
      <c r="H29" s="228"/>
      <c r="I29" s="226"/>
      <c r="J29" s="227"/>
      <c r="K29" s="227"/>
      <c r="L29" s="227"/>
      <c r="M29" s="227"/>
      <c r="N29" s="227"/>
      <c r="O29" s="228"/>
      <c r="P29" s="226"/>
      <c r="Q29" s="227"/>
      <c r="R29" s="227"/>
      <c r="S29" s="227"/>
      <c r="T29" s="227"/>
      <c r="U29" s="227"/>
      <c r="V29" s="228"/>
      <c r="W29" s="229"/>
      <c r="X29" s="227"/>
      <c r="Y29" s="227"/>
      <c r="Z29" s="227"/>
      <c r="AA29" s="227"/>
      <c r="AB29" s="227"/>
      <c r="AC29" s="228"/>
    </row>
    <row r="30" spans="1:29" ht="15">
      <c r="A30" s="220"/>
      <c r="B30" s="230"/>
      <c r="C30" s="231"/>
      <c r="D30" s="231"/>
      <c r="E30" s="231"/>
      <c r="F30" s="231"/>
      <c r="G30" s="231"/>
      <c r="H30" s="232"/>
      <c r="I30" s="233"/>
      <c r="J30" s="231"/>
      <c r="K30" s="231"/>
      <c r="L30" s="231"/>
      <c r="M30" s="231"/>
      <c r="N30" s="231"/>
      <c r="O30" s="232"/>
      <c r="P30" s="233"/>
      <c r="Q30" s="231"/>
      <c r="R30" s="231"/>
      <c r="S30" s="231"/>
      <c r="T30" s="231"/>
      <c r="U30" s="231"/>
      <c r="V30" s="232"/>
      <c r="W30" s="234"/>
      <c r="X30" s="231"/>
      <c r="Y30" s="231"/>
      <c r="Z30" s="231"/>
      <c r="AA30" s="231"/>
      <c r="AB30" s="231"/>
      <c r="AC30" s="232"/>
    </row>
    <row r="31" spans="1:29" ht="15">
      <c r="A31" s="220"/>
      <c r="B31" s="230"/>
      <c r="C31" s="231"/>
      <c r="D31" s="231"/>
      <c r="E31" s="231"/>
      <c r="F31" s="231"/>
      <c r="G31" s="231"/>
      <c r="H31" s="232"/>
      <c r="I31" s="233"/>
      <c r="J31" s="231"/>
      <c r="K31" s="231"/>
      <c r="L31" s="231"/>
      <c r="M31" s="231"/>
      <c r="N31" s="231"/>
      <c r="O31" s="232"/>
      <c r="P31" s="233"/>
      <c r="Q31" s="231"/>
      <c r="R31" s="231"/>
      <c r="S31" s="231"/>
      <c r="T31" s="231"/>
      <c r="U31" s="231"/>
      <c r="V31" s="232"/>
      <c r="W31" s="234"/>
      <c r="X31" s="231"/>
      <c r="Y31" s="231"/>
      <c r="Z31" s="231"/>
      <c r="AA31" s="231"/>
      <c r="AB31" s="231"/>
      <c r="AC31" s="232"/>
    </row>
    <row r="32" spans="1:29" ht="15">
      <c r="A32" s="220"/>
      <c r="B32" s="230"/>
      <c r="C32" s="231"/>
      <c r="D32" s="231"/>
      <c r="E32" s="231"/>
      <c r="F32" s="231"/>
      <c r="G32" s="231"/>
      <c r="H32" s="232"/>
      <c r="I32" s="233"/>
      <c r="J32" s="231"/>
      <c r="K32" s="231"/>
      <c r="L32" s="231"/>
      <c r="M32" s="231"/>
      <c r="N32" s="231"/>
      <c r="O32" s="232"/>
      <c r="P32" s="233"/>
      <c r="Q32" s="231"/>
      <c r="R32" s="231"/>
      <c r="S32" s="231"/>
      <c r="T32" s="231"/>
      <c r="U32" s="231"/>
      <c r="V32" s="232"/>
      <c r="W32" s="234"/>
      <c r="X32" s="231"/>
      <c r="Y32" s="231"/>
      <c r="Z32" s="231"/>
      <c r="AA32" s="231"/>
      <c r="AB32" s="231"/>
      <c r="AC32" s="232"/>
    </row>
    <row r="33" spans="1:29" ht="15">
      <c r="A33" s="220"/>
      <c r="B33" s="233"/>
      <c r="C33" s="231"/>
      <c r="D33" s="231"/>
      <c r="E33" s="231"/>
      <c r="F33" s="231"/>
      <c r="G33" s="231"/>
      <c r="H33" s="232"/>
      <c r="I33" s="233"/>
      <c r="J33" s="231"/>
      <c r="K33" s="231"/>
      <c r="L33" s="231"/>
      <c r="M33" s="231"/>
      <c r="N33" s="231"/>
      <c r="O33" s="232"/>
      <c r="P33" s="233"/>
      <c r="Q33" s="231"/>
      <c r="R33" s="231"/>
      <c r="S33" s="231"/>
      <c r="T33" s="231"/>
      <c r="U33" s="231"/>
      <c r="V33" s="232"/>
      <c r="W33" s="234"/>
      <c r="X33" s="231"/>
      <c r="Y33" s="231"/>
      <c r="Z33" s="231"/>
      <c r="AA33" s="231"/>
      <c r="AB33" s="231"/>
      <c r="AC33" s="232"/>
    </row>
    <row r="34" spans="1:29" ht="15">
      <c r="A34" s="220"/>
      <c r="B34" s="233"/>
      <c r="C34" s="231"/>
      <c r="D34" s="231"/>
      <c r="E34" s="231"/>
      <c r="F34" s="231"/>
      <c r="G34" s="231"/>
      <c r="H34" s="232"/>
      <c r="I34" s="233"/>
      <c r="J34" s="231"/>
      <c r="K34" s="231"/>
      <c r="L34" s="231"/>
      <c r="M34" s="231"/>
      <c r="N34" s="231"/>
      <c r="O34" s="232"/>
      <c r="P34" s="233"/>
      <c r="Q34" s="231"/>
      <c r="R34" s="231"/>
      <c r="S34" s="231"/>
      <c r="T34" s="231"/>
      <c r="U34" s="231"/>
      <c r="V34" s="232"/>
      <c r="W34" s="234"/>
      <c r="X34" s="231"/>
      <c r="Y34" s="231"/>
      <c r="Z34" s="231"/>
      <c r="AA34" s="231"/>
      <c r="AB34" s="231"/>
      <c r="AC34" s="232"/>
    </row>
    <row r="35" spans="1:29" ht="15">
      <c r="A35" s="220"/>
      <c r="B35" s="233"/>
      <c r="C35" s="231"/>
      <c r="D35" s="231"/>
      <c r="E35" s="231"/>
      <c r="F35" s="231"/>
      <c r="G35" s="231"/>
      <c r="H35" s="232"/>
      <c r="I35" s="233"/>
      <c r="J35" s="231"/>
      <c r="K35" s="231"/>
      <c r="L35" s="231"/>
      <c r="M35" s="231"/>
      <c r="N35" s="231"/>
      <c r="O35" s="232"/>
      <c r="P35" s="233"/>
      <c r="Q35" s="231"/>
      <c r="R35" s="231"/>
      <c r="S35" s="231"/>
      <c r="T35" s="231"/>
      <c r="U35" s="231"/>
      <c r="V35" s="232"/>
      <c r="W35" s="234"/>
      <c r="X35" s="231"/>
      <c r="Y35" s="231"/>
      <c r="Z35" s="231"/>
      <c r="AA35" s="231"/>
      <c r="AB35" s="231"/>
      <c r="AC35" s="232"/>
    </row>
    <row r="36" spans="1:29" ht="15">
      <c r="A36" s="220"/>
      <c r="B36" s="233"/>
      <c r="C36" s="231"/>
      <c r="D36" s="231"/>
      <c r="E36" s="231"/>
      <c r="F36" s="231"/>
      <c r="G36" s="231"/>
      <c r="H36" s="232"/>
      <c r="I36" s="233"/>
      <c r="J36" s="231"/>
      <c r="K36" s="231"/>
      <c r="L36" s="231"/>
      <c r="M36" s="231"/>
      <c r="N36" s="231"/>
      <c r="O36" s="232"/>
      <c r="P36" s="233"/>
      <c r="Q36" s="231"/>
      <c r="R36" s="231"/>
      <c r="S36" s="231"/>
      <c r="T36" s="231"/>
      <c r="U36" s="231"/>
      <c r="V36" s="232"/>
      <c r="W36" s="234"/>
      <c r="X36" s="231"/>
      <c r="Y36" s="231"/>
      <c r="Z36" s="231"/>
      <c r="AA36" s="231"/>
      <c r="AB36" s="231"/>
      <c r="AC36" s="232"/>
    </row>
    <row r="37" spans="1:29" ht="15">
      <c r="A37" s="220"/>
      <c r="B37" s="233"/>
      <c r="C37" s="231"/>
      <c r="D37" s="231"/>
      <c r="E37" s="231"/>
      <c r="F37" s="231"/>
      <c r="G37" s="231"/>
      <c r="H37" s="232"/>
      <c r="I37" s="233"/>
      <c r="J37" s="231"/>
      <c r="K37" s="231"/>
      <c r="L37" s="231"/>
      <c r="M37" s="231"/>
      <c r="N37" s="231"/>
      <c r="O37" s="232"/>
      <c r="P37" s="233"/>
      <c r="Q37" s="231"/>
      <c r="R37" s="231"/>
      <c r="S37" s="231"/>
      <c r="T37" s="231"/>
      <c r="U37" s="231"/>
      <c r="V37" s="232"/>
      <c r="W37" s="234"/>
      <c r="X37" s="231"/>
      <c r="Y37" s="231"/>
      <c r="Z37" s="231"/>
      <c r="AA37" s="231"/>
      <c r="AB37" s="231"/>
      <c r="AC37" s="232"/>
    </row>
    <row r="38" spans="1:29" ht="15">
      <c r="A38" s="220"/>
      <c r="B38" s="230"/>
      <c r="C38" s="231"/>
      <c r="D38" s="231"/>
      <c r="E38" s="231"/>
      <c r="F38" s="231"/>
      <c r="G38" s="231"/>
      <c r="H38" s="232"/>
      <c r="I38" s="233"/>
      <c r="J38" s="231"/>
      <c r="K38" s="231"/>
      <c r="L38" s="231"/>
      <c r="M38" s="231"/>
      <c r="N38" s="231"/>
      <c r="O38" s="232"/>
      <c r="P38" s="233"/>
      <c r="Q38" s="231"/>
      <c r="R38" s="231"/>
      <c r="S38" s="231"/>
      <c r="T38" s="231"/>
      <c r="U38" s="231"/>
      <c r="V38" s="232"/>
      <c r="W38" s="234"/>
      <c r="X38" s="231"/>
      <c r="Y38" s="231"/>
      <c r="Z38" s="231"/>
      <c r="AA38" s="231"/>
      <c r="AB38" s="231"/>
      <c r="AC38" s="232"/>
    </row>
    <row r="39" spans="1:29" ht="15">
      <c r="A39" s="220"/>
      <c r="B39" s="230"/>
      <c r="C39" s="231"/>
      <c r="D39" s="231"/>
      <c r="E39" s="231"/>
      <c r="F39" s="231"/>
      <c r="G39" s="231"/>
      <c r="H39" s="232"/>
      <c r="I39" s="233"/>
      <c r="J39" s="231"/>
      <c r="K39" s="231"/>
      <c r="L39" s="231"/>
      <c r="M39" s="231"/>
      <c r="N39" s="231"/>
      <c r="O39" s="232"/>
      <c r="P39" s="233"/>
      <c r="Q39" s="231"/>
      <c r="R39" s="231"/>
      <c r="S39" s="231"/>
      <c r="T39" s="231"/>
      <c r="U39" s="231"/>
      <c r="V39" s="232"/>
      <c r="W39" s="234"/>
      <c r="X39" s="231"/>
      <c r="Y39" s="231"/>
      <c r="Z39" s="231"/>
      <c r="AA39" s="231"/>
      <c r="AB39" s="231"/>
      <c r="AC39" s="232"/>
    </row>
    <row r="40" spans="1:29" ht="15">
      <c r="A40" s="220"/>
      <c r="B40" s="230"/>
      <c r="C40" s="231"/>
      <c r="D40" s="231"/>
      <c r="E40" s="231"/>
      <c r="F40" s="231"/>
      <c r="G40" s="231"/>
      <c r="H40" s="232"/>
      <c r="I40" s="233"/>
      <c r="J40" s="231"/>
      <c r="K40" s="231"/>
      <c r="L40" s="231"/>
      <c r="M40" s="231"/>
      <c r="N40" s="231"/>
      <c r="O40" s="232"/>
      <c r="P40" s="233"/>
      <c r="Q40" s="231"/>
      <c r="R40" s="231"/>
      <c r="S40" s="231"/>
      <c r="T40" s="231"/>
      <c r="U40" s="231"/>
      <c r="V40" s="232"/>
      <c r="W40" s="234"/>
      <c r="X40" s="231"/>
      <c r="Y40" s="231"/>
      <c r="Z40" s="231"/>
      <c r="AA40" s="231"/>
      <c r="AB40" s="231"/>
      <c r="AC40" s="232"/>
    </row>
    <row r="41" spans="1:29" ht="15">
      <c r="A41" s="220"/>
      <c r="B41" s="230"/>
      <c r="C41" s="231"/>
      <c r="D41" s="231"/>
      <c r="E41" s="231"/>
      <c r="F41" s="231"/>
      <c r="G41" s="231"/>
      <c r="H41" s="232"/>
      <c r="I41" s="233"/>
      <c r="J41" s="231"/>
      <c r="K41" s="231"/>
      <c r="L41" s="231"/>
      <c r="M41" s="231"/>
      <c r="N41" s="231"/>
      <c r="O41" s="232"/>
      <c r="P41" s="233"/>
      <c r="Q41" s="231"/>
      <c r="R41" s="231"/>
      <c r="S41" s="231"/>
      <c r="T41" s="231"/>
      <c r="U41" s="231"/>
      <c r="V41" s="232"/>
      <c r="W41" s="234"/>
      <c r="X41" s="231"/>
      <c r="Y41" s="231"/>
      <c r="Z41" s="231"/>
      <c r="AA41" s="231"/>
      <c r="AB41" s="231"/>
      <c r="AC41" s="232"/>
    </row>
    <row r="42" spans="1:29" ht="15">
      <c r="A42" s="220"/>
      <c r="B42" s="230"/>
      <c r="C42" s="231"/>
      <c r="D42" s="231"/>
      <c r="E42" s="231"/>
      <c r="F42" s="231"/>
      <c r="G42" s="231"/>
      <c r="H42" s="232"/>
      <c r="I42" s="233"/>
      <c r="J42" s="231"/>
      <c r="K42" s="231"/>
      <c r="L42" s="231"/>
      <c r="M42" s="231"/>
      <c r="N42" s="231"/>
      <c r="O42" s="232"/>
      <c r="P42" s="233"/>
      <c r="Q42" s="231"/>
      <c r="R42" s="231"/>
      <c r="S42" s="231"/>
      <c r="T42" s="231"/>
      <c r="U42" s="231"/>
      <c r="V42" s="232"/>
      <c r="W42" s="234"/>
      <c r="X42" s="231"/>
      <c r="Y42" s="231"/>
      <c r="Z42" s="231"/>
      <c r="AA42" s="231"/>
      <c r="AB42" s="231"/>
      <c r="AC42" s="232"/>
    </row>
    <row r="43" spans="1:29" ht="15.75" thickBot="1">
      <c r="A43" s="221"/>
      <c r="B43" s="235"/>
      <c r="C43" s="236"/>
      <c r="D43" s="236"/>
      <c r="E43" s="236"/>
      <c r="F43" s="236"/>
      <c r="G43" s="236"/>
      <c r="H43" s="237"/>
      <c r="I43" s="235"/>
      <c r="J43" s="236"/>
      <c r="K43" s="236"/>
      <c r="L43" s="236"/>
      <c r="M43" s="236"/>
      <c r="N43" s="236"/>
      <c r="O43" s="237"/>
      <c r="P43" s="235"/>
      <c r="Q43" s="236"/>
      <c r="R43" s="236"/>
      <c r="S43" s="236"/>
      <c r="T43" s="236"/>
      <c r="U43" s="236"/>
      <c r="V43" s="237"/>
      <c r="W43" s="238"/>
      <c r="X43" s="236"/>
      <c r="Y43" s="236"/>
      <c r="Z43" s="236"/>
      <c r="AA43" s="236"/>
      <c r="AB43" s="236"/>
      <c r="AC43" s="237"/>
    </row>
    <row r="45" ht="15">
      <c r="A45" s="219" t="s">
        <v>311</v>
      </c>
    </row>
  </sheetData>
  <sheetProtection/>
  <mergeCells count="13">
    <mergeCell ref="A2:AC2"/>
    <mergeCell ref="A4:AC4"/>
    <mergeCell ref="A5:A6"/>
    <mergeCell ref="B5:H5"/>
    <mergeCell ref="I5:O5"/>
    <mergeCell ref="P5:V5"/>
    <mergeCell ref="W5:AC5"/>
    <mergeCell ref="A26:AC26"/>
    <mergeCell ref="A27:A28"/>
    <mergeCell ref="B27:H27"/>
    <mergeCell ref="I27:O27"/>
    <mergeCell ref="P27:V27"/>
    <mergeCell ref="W27:AC27"/>
  </mergeCells>
  <printOptions/>
  <pageMargins left="0.7086614173228347" right="0.47" top="0.7874015748031497" bottom="0.7874015748031497" header="0.31496062992125984" footer="0.31496062992125984"/>
  <pageSetup fitToHeight="1" fitToWidth="1" orientation="landscape" paperSize="8" scale="47" r:id="rId2"/>
  <colBreaks count="1" manualBreakCount="1">
    <brk id="1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B88"/>
  <sheetViews>
    <sheetView zoomScalePageLayoutView="0" workbookViewId="0" topLeftCell="D1">
      <selection activeCell="K17" sqref="K17"/>
    </sheetView>
  </sheetViews>
  <sheetFormatPr defaultColWidth="9.140625" defaultRowHeight="15"/>
  <cols>
    <col min="1" max="1" width="11.421875" style="10" hidden="1" customWidth="1"/>
    <col min="2" max="2" width="6.57421875" style="88" hidden="1" customWidth="1"/>
    <col min="3" max="3" width="11.421875" style="10" hidden="1" customWidth="1"/>
    <col min="4" max="4" width="51.7109375" style="87" customWidth="1"/>
    <col min="5" max="5" width="14.421875" style="3" bestFit="1" customWidth="1"/>
    <col min="6" max="6" width="13.421875" style="3" customWidth="1"/>
    <col min="7" max="7" width="11.421875" style="3" bestFit="1" customWidth="1"/>
    <col min="8" max="8" width="10.7109375" style="3" customWidth="1"/>
    <col min="9" max="9" width="12.140625" style="3" customWidth="1"/>
    <col min="10" max="11" width="10.7109375" style="3" customWidth="1"/>
    <col min="12" max="17" width="13.57421875" style="3" customWidth="1"/>
    <col min="18" max="18" width="15.7109375" style="3" customWidth="1"/>
    <col min="19" max="28" width="13.57421875" style="3" customWidth="1"/>
    <col min="29" max="16384" width="9.140625" style="10" customWidth="1"/>
  </cols>
  <sheetData>
    <row r="1" ht="16.5" thickBot="1">
      <c r="D1" s="209" t="s">
        <v>343</v>
      </c>
    </row>
    <row r="2" spans="4:28" ht="23.25" customHeight="1" thickBot="1">
      <c r="D2" s="898" t="s">
        <v>341</v>
      </c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900"/>
    </row>
    <row r="3" spans="2:28" s="260" customFormat="1" ht="19.5" thickBot="1">
      <c r="B3" s="441"/>
      <c r="D3" s="258" t="s">
        <v>344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</row>
    <row r="4" spans="1:28" ht="15" customHeight="1">
      <c r="A4" s="896" t="s">
        <v>509</v>
      </c>
      <c r="B4" s="896" t="s">
        <v>510</v>
      </c>
      <c r="C4" s="896" t="s">
        <v>511</v>
      </c>
      <c r="D4" s="896" t="s">
        <v>340</v>
      </c>
      <c r="E4" s="901" t="s">
        <v>329</v>
      </c>
      <c r="F4" s="901" t="s">
        <v>654</v>
      </c>
      <c r="G4" s="903">
        <v>2018</v>
      </c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3" t="s">
        <v>339</v>
      </c>
      <c r="S4" s="904"/>
      <c r="T4" s="904"/>
      <c r="U4" s="904"/>
      <c r="V4" s="904"/>
      <c r="W4" s="904"/>
      <c r="X4" s="904"/>
      <c r="Y4" s="904"/>
      <c r="Z4" s="904"/>
      <c r="AA4" s="904"/>
      <c r="AB4" s="905"/>
    </row>
    <row r="5" spans="1:28" ht="29.25" thickBot="1">
      <c r="A5" s="897"/>
      <c r="B5" s="897"/>
      <c r="C5" s="897"/>
      <c r="D5" s="897"/>
      <c r="E5" s="902"/>
      <c r="F5" s="902"/>
      <c r="G5" s="442" t="s">
        <v>203</v>
      </c>
      <c r="H5" s="442" t="s">
        <v>304</v>
      </c>
      <c r="I5" s="442" t="s">
        <v>330</v>
      </c>
      <c r="J5" s="442" t="s">
        <v>331</v>
      </c>
      <c r="K5" s="442" t="s">
        <v>332</v>
      </c>
      <c r="L5" s="442" t="s">
        <v>333</v>
      </c>
      <c r="M5" s="442" t="s">
        <v>334</v>
      </c>
      <c r="N5" s="442" t="s">
        <v>335</v>
      </c>
      <c r="O5" s="442" t="s">
        <v>336</v>
      </c>
      <c r="P5" s="442" t="s">
        <v>337</v>
      </c>
      <c r="Q5" s="442" t="s">
        <v>338</v>
      </c>
      <c r="R5" s="442" t="s">
        <v>203</v>
      </c>
      <c r="S5" s="442" t="s">
        <v>304</v>
      </c>
      <c r="T5" s="442" t="s">
        <v>330</v>
      </c>
      <c r="U5" s="442" t="s">
        <v>331</v>
      </c>
      <c r="V5" s="442" t="s">
        <v>332</v>
      </c>
      <c r="W5" s="442" t="s">
        <v>333</v>
      </c>
      <c r="X5" s="442" t="s">
        <v>334</v>
      </c>
      <c r="Y5" s="442" t="s">
        <v>335</v>
      </c>
      <c r="Z5" s="442" t="s">
        <v>336</v>
      </c>
      <c r="AA5" s="442" t="s">
        <v>337</v>
      </c>
      <c r="AB5" s="443" t="s">
        <v>338</v>
      </c>
    </row>
    <row r="6" spans="4:28" ht="15">
      <c r="D6" s="893" t="s">
        <v>308</v>
      </c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4"/>
      <c r="Z6" s="894"/>
      <c r="AA6" s="894"/>
      <c r="AB6" s="895"/>
    </row>
    <row r="7" spans="1:28" s="96" customFormat="1" ht="30">
      <c r="A7" s="423">
        <v>1</v>
      </c>
      <c r="B7" s="424">
        <v>44</v>
      </c>
      <c r="C7" s="425"/>
      <c r="D7" s="426" t="s">
        <v>436</v>
      </c>
      <c r="E7" s="427">
        <v>96800000</v>
      </c>
      <c r="F7" s="427">
        <v>0</v>
      </c>
      <c r="G7" s="428">
        <f>SUM(H7:Q7)</f>
        <v>9749068.28</v>
      </c>
      <c r="H7" s="425"/>
      <c r="I7" s="425">
        <v>9749068.28</v>
      </c>
      <c r="J7" s="425"/>
      <c r="K7" s="425"/>
      <c r="L7" s="425"/>
      <c r="M7" s="425"/>
      <c r="N7" s="425"/>
      <c r="O7" s="425"/>
      <c r="P7" s="425"/>
      <c r="Q7" s="425"/>
      <c r="R7" s="428">
        <f>E7-F7-G7</f>
        <v>87050931.72</v>
      </c>
      <c r="S7" s="425"/>
      <c r="T7" s="425"/>
      <c r="U7" s="425"/>
      <c r="V7" s="425"/>
      <c r="W7" s="425"/>
      <c r="X7" s="425"/>
      <c r="Y7" s="425"/>
      <c r="Z7" s="425"/>
      <c r="AA7" s="425"/>
      <c r="AB7" s="429"/>
    </row>
    <row r="8" spans="1:28" s="96" customFormat="1" ht="15">
      <c r="A8" s="423">
        <v>2</v>
      </c>
      <c r="B8" s="424">
        <v>38</v>
      </c>
      <c r="C8" s="425">
        <v>73667</v>
      </c>
      <c r="D8" s="426" t="s">
        <v>437</v>
      </c>
      <c r="E8" s="425">
        <v>60500000</v>
      </c>
      <c r="F8" s="425">
        <v>73667</v>
      </c>
      <c r="G8" s="428">
        <f aca="true" t="shared" si="0" ref="G8:G71">SUM(H8:Q8)</f>
        <v>1256803.3100000003</v>
      </c>
      <c r="H8" s="425"/>
      <c r="I8" s="425">
        <v>1256803.3100000003</v>
      </c>
      <c r="J8" s="425"/>
      <c r="K8" s="425"/>
      <c r="L8" s="425"/>
      <c r="M8" s="425"/>
      <c r="N8" s="425"/>
      <c r="O8" s="425"/>
      <c r="P8" s="425"/>
      <c r="Q8" s="425"/>
      <c r="R8" s="428">
        <f aca="true" t="shared" si="1" ref="R8:R73">E8-F8-G8</f>
        <v>59169529.69</v>
      </c>
      <c r="S8" s="425"/>
      <c r="T8" s="425"/>
      <c r="U8" s="425"/>
      <c r="V8" s="425"/>
      <c r="W8" s="425"/>
      <c r="X8" s="425"/>
      <c r="Y8" s="425"/>
      <c r="Z8" s="425"/>
      <c r="AA8" s="425"/>
      <c r="AB8" s="429"/>
    </row>
    <row r="9" spans="1:28" s="96" customFormat="1" ht="15">
      <c r="A9" s="423">
        <v>3</v>
      </c>
      <c r="B9" s="424"/>
      <c r="C9" s="425"/>
      <c r="D9" s="426" t="s">
        <v>438</v>
      </c>
      <c r="E9" s="425">
        <v>24200000</v>
      </c>
      <c r="F9" s="425">
        <v>0</v>
      </c>
      <c r="G9" s="428">
        <f t="shared" si="0"/>
        <v>0</v>
      </c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8">
        <f t="shared" si="1"/>
        <v>24200000</v>
      </c>
      <c r="S9" s="425"/>
      <c r="T9" s="425"/>
      <c r="U9" s="425"/>
      <c r="V9" s="425"/>
      <c r="W9" s="425"/>
      <c r="X9" s="425"/>
      <c r="Y9" s="425"/>
      <c r="Z9" s="425"/>
      <c r="AA9" s="425"/>
      <c r="AB9" s="429"/>
    </row>
    <row r="10" spans="1:28" s="96" customFormat="1" ht="30">
      <c r="A10" s="423">
        <v>4</v>
      </c>
      <c r="B10" s="424"/>
      <c r="C10" s="425"/>
      <c r="D10" s="426" t="s">
        <v>655</v>
      </c>
      <c r="E10" s="425">
        <v>30250000</v>
      </c>
      <c r="F10" s="425">
        <v>0</v>
      </c>
      <c r="G10" s="428">
        <f t="shared" si="0"/>
        <v>0</v>
      </c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8">
        <f t="shared" si="1"/>
        <v>30250000</v>
      </c>
      <c r="S10" s="425"/>
      <c r="T10" s="425"/>
      <c r="U10" s="425"/>
      <c r="V10" s="425"/>
      <c r="W10" s="425"/>
      <c r="X10" s="425"/>
      <c r="Y10" s="425"/>
      <c r="Z10" s="425"/>
      <c r="AA10" s="425"/>
      <c r="AB10" s="429"/>
    </row>
    <row r="11" spans="1:28" s="96" customFormat="1" ht="60">
      <c r="A11" s="423">
        <v>5</v>
      </c>
      <c r="B11" s="424"/>
      <c r="C11" s="425"/>
      <c r="D11" s="426" t="s">
        <v>439</v>
      </c>
      <c r="E11" s="425">
        <v>30250000</v>
      </c>
      <c r="F11" s="425">
        <v>0</v>
      </c>
      <c r="G11" s="428">
        <f t="shared" si="0"/>
        <v>4389327.279999999</v>
      </c>
      <c r="H11" s="425"/>
      <c r="I11" s="425">
        <v>4389327.279999999</v>
      </c>
      <c r="J11" s="425"/>
      <c r="K11" s="425"/>
      <c r="L11" s="425"/>
      <c r="M11" s="425"/>
      <c r="N11" s="425"/>
      <c r="O11" s="425"/>
      <c r="P11" s="425"/>
      <c r="Q11" s="425"/>
      <c r="R11" s="428">
        <f t="shared" si="1"/>
        <v>25860672.72</v>
      </c>
      <c r="S11" s="425"/>
      <c r="T11" s="425"/>
      <c r="U11" s="425"/>
      <c r="V11" s="425"/>
      <c r="W11" s="425"/>
      <c r="X11" s="425"/>
      <c r="Y11" s="425"/>
      <c r="Z11" s="425"/>
      <c r="AA11" s="425"/>
      <c r="AB11" s="429"/>
    </row>
    <row r="12" spans="1:28" s="96" customFormat="1" ht="45">
      <c r="A12" s="423">
        <v>6</v>
      </c>
      <c r="B12" s="424">
        <v>27</v>
      </c>
      <c r="C12" s="425"/>
      <c r="D12" s="426" t="s">
        <v>440</v>
      </c>
      <c r="E12" s="425">
        <v>12100000</v>
      </c>
      <c r="F12" s="425">
        <v>0</v>
      </c>
      <c r="G12" s="428">
        <f t="shared" si="0"/>
        <v>1820450.47</v>
      </c>
      <c r="H12" s="425"/>
      <c r="I12" s="425">
        <v>1820450.47</v>
      </c>
      <c r="J12" s="425"/>
      <c r="K12" s="425"/>
      <c r="L12" s="425"/>
      <c r="M12" s="425"/>
      <c r="N12" s="425"/>
      <c r="O12" s="425"/>
      <c r="P12" s="425"/>
      <c r="Q12" s="425"/>
      <c r="R12" s="428">
        <f t="shared" si="1"/>
        <v>10279549.53</v>
      </c>
      <c r="S12" s="425"/>
      <c r="T12" s="425"/>
      <c r="U12" s="425"/>
      <c r="V12" s="425"/>
      <c r="W12" s="425"/>
      <c r="X12" s="425"/>
      <c r="Y12" s="425"/>
      <c r="Z12" s="425"/>
      <c r="AA12" s="425"/>
      <c r="AB12" s="429"/>
    </row>
    <row r="13" spans="1:28" s="96" customFormat="1" ht="15">
      <c r="A13" s="423">
        <v>7</v>
      </c>
      <c r="B13" s="424">
        <v>42</v>
      </c>
      <c r="C13" s="425">
        <v>98000</v>
      </c>
      <c r="D13" s="426" t="s">
        <v>441</v>
      </c>
      <c r="E13" s="425">
        <v>3630000</v>
      </c>
      <c r="F13" s="425">
        <v>98000</v>
      </c>
      <c r="G13" s="428">
        <f t="shared" si="0"/>
        <v>690008.88</v>
      </c>
      <c r="H13" s="425"/>
      <c r="I13" s="425">
        <v>690008.88</v>
      </c>
      <c r="J13" s="425"/>
      <c r="K13" s="425"/>
      <c r="L13" s="425"/>
      <c r="M13" s="425"/>
      <c r="N13" s="425"/>
      <c r="O13" s="425"/>
      <c r="P13" s="425"/>
      <c r="Q13" s="425"/>
      <c r="R13" s="428">
        <f t="shared" si="1"/>
        <v>2841991.12</v>
      </c>
      <c r="S13" s="425"/>
      <c r="T13" s="425"/>
      <c r="U13" s="425"/>
      <c r="V13" s="425"/>
      <c r="W13" s="425"/>
      <c r="X13" s="425"/>
      <c r="Y13" s="425"/>
      <c r="Z13" s="425"/>
      <c r="AA13" s="425"/>
      <c r="AB13" s="429"/>
    </row>
    <row r="14" spans="1:28" s="96" customFormat="1" ht="15">
      <c r="A14" s="423">
        <v>8</v>
      </c>
      <c r="B14" s="424">
        <v>25</v>
      </c>
      <c r="C14" s="425">
        <v>773473.33</v>
      </c>
      <c r="D14" s="733" t="s">
        <v>442</v>
      </c>
      <c r="E14" s="734">
        <v>1234200</v>
      </c>
      <c r="F14" s="734">
        <v>783737.89</v>
      </c>
      <c r="G14" s="735">
        <f t="shared" si="0"/>
        <v>0</v>
      </c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5">
        <f t="shared" si="1"/>
        <v>450462.11</v>
      </c>
      <c r="S14" s="734"/>
      <c r="T14" s="734"/>
      <c r="U14" s="734"/>
      <c r="V14" s="734"/>
      <c r="W14" s="734"/>
      <c r="X14" s="734"/>
      <c r="Y14" s="734"/>
      <c r="Z14" s="734"/>
      <c r="AA14" s="734"/>
      <c r="AB14" s="736"/>
    </row>
    <row r="15" spans="1:28" s="96" customFormat="1" ht="15">
      <c r="A15" s="423">
        <v>9</v>
      </c>
      <c r="B15" s="424"/>
      <c r="C15" s="425"/>
      <c r="D15" s="426" t="s">
        <v>443</v>
      </c>
      <c r="E15" s="425">
        <v>12100000</v>
      </c>
      <c r="F15" s="425">
        <v>0</v>
      </c>
      <c r="G15" s="428">
        <f t="shared" si="0"/>
        <v>0</v>
      </c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8">
        <f t="shared" si="1"/>
        <v>12100000</v>
      </c>
      <c r="S15" s="425"/>
      <c r="T15" s="425"/>
      <c r="U15" s="425"/>
      <c r="V15" s="425"/>
      <c r="W15" s="425"/>
      <c r="X15" s="425"/>
      <c r="Y15" s="425"/>
      <c r="Z15" s="425"/>
      <c r="AA15" s="425"/>
      <c r="AB15" s="429"/>
    </row>
    <row r="16" spans="1:28" s="96" customFormat="1" ht="60">
      <c r="A16" s="423">
        <v>10</v>
      </c>
      <c r="B16" s="424"/>
      <c r="C16" s="425"/>
      <c r="D16" s="426" t="s">
        <v>444</v>
      </c>
      <c r="E16" s="425">
        <v>60500000</v>
      </c>
      <c r="F16" s="425">
        <v>0</v>
      </c>
      <c r="G16" s="428">
        <f t="shared" si="0"/>
        <v>0</v>
      </c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8">
        <f t="shared" si="1"/>
        <v>60500000</v>
      </c>
      <c r="S16" s="425"/>
      <c r="T16" s="425"/>
      <c r="U16" s="425"/>
      <c r="V16" s="425"/>
      <c r="W16" s="425"/>
      <c r="X16" s="425"/>
      <c r="Y16" s="425"/>
      <c r="Z16" s="425"/>
      <c r="AA16" s="425"/>
      <c r="AB16" s="429"/>
    </row>
    <row r="17" spans="1:28" s="96" customFormat="1" ht="30">
      <c r="A17" s="423">
        <v>11</v>
      </c>
      <c r="B17" s="424">
        <v>34</v>
      </c>
      <c r="C17" s="425">
        <v>24369</v>
      </c>
      <c r="D17" s="426" t="s">
        <v>445</v>
      </c>
      <c r="E17" s="425">
        <v>30250000</v>
      </c>
      <c r="F17" s="425">
        <v>24369</v>
      </c>
      <c r="G17" s="428">
        <f t="shared" si="0"/>
        <v>2962823.54</v>
      </c>
      <c r="H17" s="425"/>
      <c r="I17" s="425">
        <v>2962823.54</v>
      </c>
      <c r="J17" s="425"/>
      <c r="K17" s="425"/>
      <c r="L17" s="425"/>
      <c r="M17" s="425"/>
      <c r="N17" s="425"/>
      <c r="O17" s="425"/>
      <c r="P17" s="425"/>
      <c r="Q17" s="425"/>
      <c r="R17" s="428">
        <f t="shared" si="1"/>
        <v>27262807.46</v>
      </c>
      <c r="S17" s="425"/>
      <c r="T17" s="425"/>
      <c r="U17" s="425"/>
      <c r="V17" s="425"/>
      <c r="W17" s="425"/>
      <c r="X17" s="425"/>
      <c r="Y17" s="425"/>
      <c r="Z17" s="425"/>
      <c r="AA17" s="425"/>
      <c r="AB17" s="429"/>
    </row>
    <row r="18" spans="1:28" s="96" customFormat="1" ht="30">
      <c r="A18" s="423">
        <v>12</v>
      </c>
      <c r="B18" s="424">
        <v>35</v>
      </c>
      <c r="C18" s="425">
        <v>1569.2</v>
      </c>
      <c r="D18" s="426" t="s">
        <v>446</v>
      </c>
      <c r="E18" s="425">
        <v>36300000</v>
      </c>
      <c r="F18" s="425">
        <v>1569.2</v>
      </c>
      <c r="G18" s="428">
        <f t="shared" si="0"/>
        <v>1664717.01</v>
      </c>
      <c r="H18" s="425"/>
      <c r="I18" s="425"/>
      <c r="J18" s="425"/>
      <c r="K18" s="425"/>
      <c r="L18" s="425">
        <f>1664717.01*0.85</f>
        <v>1415009.4585</v>
      </c>
      <c r="M18" s="425"/>
      <c r="N18" s="425"/>
      <c r="O18" s="425"/>
      <c r="P18" s="425"/>
      <c r="Q18" s="425">
        <f>1664717.01*0.15</f>
        <v>249707.5515</v>
      </c>
      <c r="R18" s="428">
        <f t="shared" si="1"/>
        <v>34633713.79</v>
      </c>
      <c r="S18" s="425"/>
      <c r="T18" s="425"/>
      <c r="U18" s="425"/>
      <c r="V18" s="425"/>
      <c r="W18" s="425"/>
      <c r="X18" s="425"/>
      <c r="Y18" s="425"/>
      <c r="Z18" s="425"/>
      <c r="AA18" s="425"/>
      <c r="AB18" s="429"/>
    </row>
    <row r="19" spans="1:28" s="96" customFormat="1" ht="30">
      <c r="A19" s="423">
        <v>13</v>
      </c>
      <c r="B19" s="424"/>
      <c r="C19" s="425"/>
      <c r="D19" s="737" t="s">
        <v>447</v>
      </c>
      <c r="E19" s="425">
        <v>33880000</v>
      </c>
      <c r="F19" s="425">
        <v>0</v>
      </c>
      <c r="G19" s="428">
        <f t="shared" si="0"/>
        <v>0</v>
      </c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8">
        <f t="shared" si="1"/>
        <v>33880000</v>
      </c>
      <c r="S19" s="425"/>
      <c r="T19" s="425"/>
      <c r="U19" s="425"/>
      <c r="V19" s="425"/>
      <c r="W19" s="425"/>
      <c r="X19" s="425"/>
      <c r="Y19" s="425"/>
      <c r="Z19" s="425"/>
      <c r="AA19" s="425"/>
      <c r="AB19" s="429"/>
    </row>
    <row r="20" spans="1:28" s="96" customFormat="1" ht="15">
      <c r="A20" s="423">
        <v>14</v>
      </c>
      <c r="B20" s="424" t="s">
        <v>448</v>
      </c>
      <c r="C20" s="425">
        <v>452597</v>
      </c>
      <c r="D20" s="426" t="s">
        <v>449</v>
      </c>
      <c r="E20" s="425">
        <v>48400000</v>
      </c>
      <c r="F20" s="425">
        <v>952597</v>
      </c>
      <c r="G20" s="428">
        <f t="shared" si="0"/>
        <v>14205974</v>
      </c>
      <c r="H20" s="425"/>
      <c r="I20" s="425">
        <v>14205974</v>
      </c>
      <c r="J20" s="425"/>
      <c r="K20" s="425"/>
      <c r="L20" s="425"/>
      <c r="M20" s="425"/>
      <c r="N20" s="425"/>
      <c r="O20" s="425"/>
      <c r="P20" s="425"/>
      <c r="Q20" s="425"/>
      <c r="R20" s="428">
        <f t="shared" si="1"/>
        <v>33241429</v>
      </c>
      <c r="S20" s="425"/>
      <c r="T20" s="425"/>
      <c r="U20" s="425"/>
      <c r="V20" s="425"/>
      <c r="W20" s="425"/>
      <c r="X20" s="425"/>
      <c r="Y20" s="425"/>
      <c r="Z20" s="425"/>
      <c r="AA20" s="425"/>
      <c r="AB20" s="429"/>
    </row>
    <row r="21" spans="1:28" s="96" customFormat="1" ht="15">
      <c r="A21" s="423">
        <v>15</v>
      </c>
      <c r="B21" s="424" t="s">
        <v>450</v>
      </c>
      <c r="C21" s="425"/>
      <c r="D21" s="426" t="s">
        <v>451</v>
      </c>
      <c r="E21" s="425">
        <v>127050000</v>
      </c>
      <c r="F21" s="425">
        <v>1000000</v>
      </c>
      <c r="G21" s="428">
        <f t="shared" si="0"/>
        <v>34447880</v>
      </c>
      <c r="H21" s="425"/>
      <c r="I21" s="425">
        <v>10000000</v>
      </c>
      <c r="J21" s="425"/>
      <c r="K21" s="425"/>
      <c r="L21" s="425"/>
      <c r="M21" s="425"/>
      <c r="N21" s="425">
        <v>24447880</v>
      </c>
      <c r="O21" s="425"/>
      <c r="P21" s="425"/>
      <c r="Q21" s="425"/>
      <c r="R21" s="428">
        <f t="shared" si="1"/>
        <v>91602120</v>
      </c>
      <c r="S21" s="425"/>
      <c r="T21" s="425"/>
      <c r="U21" s="425"/>
      <c r="V21" s="425"/>
      <c r="W21" s="425"/>
      <c r="X21" s="425"/>
      <c r="Y21" s="425"/>
      <c r="Z21" s="425"/>
      <c r="AA21" s="425"/>
      <c r="AB21" s="429"/>
    </row>
    <row r="22" spans="1:28" s="96" customFormat="1" ht="15">
      <c r="A22" s="423">
        <v>16</v>
      </c>
      <c r="B22" s="424" t="s">
        <v>452</v>
      </c>
      <c r="C22" s="425"/>
      <c r="D22" s="426" t="s">
        <v>453</v>
      </c>
      <c r="E22" s="425">
        <v>145200000</v>
      </c>
      <c r="F22" s="425">
        <v>0</v>
      </c>
      <c r="G22" s="428">
        <f t="shared" si="0"/>
        <v>1645114.7</v>
      </c>
      <c r="H22" s="425"/>
      <c r="I22" s="425"/>
      <c r="J22" s="425"/>
      <c r="K22" s="425"/>
      <c r="L22" s="425"/>
      <c r="M22" s="425"/>
      <c r="N22" s="425"/>
      <c r="O22" s="425">
        <v>1645114.7</v>
      </c>
      <c r="P22" s="425"/>
      <c r="Q22" s="425"/>
      <c r="R22" s="428">
        <f t="shared" si="1"/>
        <v>143554885.3</v>
      </c>
      <c r="S22" s="425"/>
      <c r="T22" s="425"/>
      <c r="U22" s="425"/>
      <c r="V22" s="425"/>
      <c r="W22" s="425"/>
      <c r="X22" s="425"/>
      <c r="Y22" s="425"/>
      <c r="Z22" s="425"/>
      <c r="AA22" s="425"/>
      <c r="AB22" s="429"/>
    </row>
    <row r="23" spans="1:28" s="96" customFormat="1" ht="30">
      <c r="A23" s="423">
        <v>17</v>
      </c>
      <c r="B23" s="424"/>
      <c r="C23" s="425"/>
      <c r="D23" s="426" t="s">
        <v>454</v>
      </c>
      <c r="E23" s="425">
        <v>30250000</v>
      </c>
      <c r="F23" s="425">
        <v>0</v>
      </c>
      <c r="G23" s="428">
        <f t="shared" si="0"/>
        <v>0</v>
      </c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8">
        <f t="shared" si="1"/>
        <v>30250000</v>
      </c>
      <c r="S23" s="425"/>
      <c r="T23" s="425"/>
      <c r="U23" s="425"/>
      <c r="V23" s="425"/>
      <c r="W23" s="425"/>
      <c r="X23" s="425"/>
      <c r="Y23" s="425"/>
      <c r="Z23" s="425"/>
      <c r="AA23" s="425"/>
      <c r="AB23" s="429"/>
    </row>
    <row r="24" spans="1:28" s="96" customFormat="1" ht="15">
      <c r="A24" s="423">
        <v>18</v>
      </c>
      <c r="B24" s="424"/>
      <c r="C24" s="425"/>
      <c r="D24" s="426" t="s">
        <v>455</v>
      </c>
      <c r="E24" s="425">
        <v>24200000</v>
      </c>
      <c r="F24" s="425">
        <v>0</v>
      </c>
      <c r="G24" s="428">
        <f t="shared" si="0"/>
        <v>0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8">
        <f t="shared" si="1"/>
        <v>24200000</v>
      </c>
      <c r="S24" s="425"/>
      <c r="T24" s="425"/>
      <c r="U24" s="425"/>
      <c r="V24" s="425"/>
      <c r="W24" s="425"/>
      <c r="X24" s="425"/>
      <c r="Y24" s="425"/>
      <c r="Z24" s="425"/>
      <c r="AA24" s="425"/>
      <c r="AB24" s="429"/>
    </row>
    <row r="25" spans="1:28" s="96" customFormat="1" ht="45">
      <c r="A25" s="423">
        <v>19</v>
      </c>
      <c r="B25" s="424">
        <v>21</v>
      </c>
      <c r="C25" s="425">
        <v>179722.88</v>
      </c>
      <c r="D25" s="426" t="s">
        <v>456</v>
      </c>
      <c r="E25" s="425">
        <v>6050000</v>
      </c>
      <c r="F25" s="425">
        <v>244630.88</v>
      </c>
      <c r="G25" s="428">
        <f t="shared" si="0"/>
        <v>922118.3599999999</v>
      </c>
      <c r="H25" s="425"/>
      <c r="I25" s="425"/>
      <c r="J25" s="425"/>
      <c r="K25" s="425"/>
      <c r="L25" s="425">
        <f>922118.36*0.85</f>
        <v>783800.6059999999</v>
      </c>
      <c r="M25" s="425"/>
      <c r="N25" s="425"/>
      <c r="O25" s="425"/>
      <c r="P25" s="425"/>
      <c r="Q25" s="425">
        <f>922118.36*0.15</f>
        <v>138317.754</v>
      </c>
      <c r="R25" s="428">
        <f t="shared" si="1"/>
        <v>4883250.76</v>
      </c>
      <c r="S25" s="425"/>
      <c r="T25" s="425"/>
      <c r="U25" s="425"/>
      <c r="V25" s="425"/>
      <c r="W25" s="425"/>
      <c r="X25" s="425"/>
      <c r="Y25" s="425"/>
      <c r="Z25" s="425"/>
      <c r="AA25" s="425"/>
      <c r="AB25" s="429"/>
    </row>
    <row r="26" spans="1:28" s="96" customFormat="1" ht="15">
      <c r="A26" s="423">
        <v>20</v>
      </c>
      <c r="B26" s="424" t="s">
        <v>457</v>
      </c>
      <c r="C26" s="425">
        <f>1150449.79+2958867.83</f>
        <v>4109317.62</v>
      </c>
      <c r="D26" s="426" t="s">
        <v>458</v>
      </c>
      <c r="E26" s="425">
        <v>19360000</v>
      </c>
      <c r="F26" s="425">
        <v>4188153.31</v>
      </c>
      <c r="G26" s="428">
        <f t="shared" si="0"/>
        <v>9925910.96</v>
      </c>
      <c r="H26" s="425"/>
      <c r="I26" s="425"/>
      <c r="J26" s="425"/>
      <c r="K26" s="425"/>
      <c r="L26" s="425"/>
      <c r="M26" s="425"/>
      <c r="N26" s="425"/>
      <c r="O26" s="425">
        <v>9925910.96</v>
      </c>
      <c r="P26" s="425"/>
      <c r="Q26" s="425"/>
      <c r="R26" s="428">
        <f t="shared" si="1"/>
        <v>5245935.729999999</v>
      </c>
      <c r="S26" s="425"/>
      <c r="T26" s="425"/>
      <c r="U26" s="425"/>
      <c r="V26" s="425"/>
      <c r="W26" s="425"/>
      <c r="X26" s="425"/>
      <c r="Y26" s="425"/>
      <c r="Z26" s="425"/>
      <c r="AA26" s="425"/>
      <c r="AB26" s="429"/>
    </row>
    <row r="27" spans="1:28" s="96" customFormat="1" ht="30">
      <c r="A27" s="423">
        <v>21</v>
      </c>
      <c r="B27" s="424"/>
      <c r="C27" s="425"/>
      <c r="D27" s="426" t="s">
        <v>459</v>
      </c>
      <c r="E27" s="425">
        <v>12100000</v>
      </c>
      <c r="F27" s="425">
        <v>0</v>
      </c>
      <c r="G27" s="428">
        <f t="shared" si="0"/>
        <v>121511</v>
      </c>
      <c r="H27" s="425"/>
      <c r="I27" s="425">
        <v>121511</v>
      </c>
      <c r="J27" s="425"/>
      <c r="K27" s="425"/>
      <c r="L27" s="425"/>
      <c r="M27" s="425"/>
      <c r="N27" s="425"/>
      <c r="O27" s="425"/>
      <c r="P27" s="425"/>
      <c r="Q27" s="425"/>
      <c r="R27" s="428">
        <f t="shared" si="1"/>
        <v>11978489</v>
      </c>
      <c r="S27" s="425"/>
      <c r="T27" s="425"/>
      <c r="U27" s="425"/>
      <c r="V27" s="425"/>
      <c r="W27" s="425"/>
      <c r="X27" s="425"/>
      <c r="Y27" s="425"/>
      <c r="Z27" s="425"/>
      <c r="AA27" s="425"/>
      <c r="AB27" s="429"/>
    </row>
    <row r="28" spans="1:28" s="96" customFormat="1" ht="75">
      <c r="A28" s="423">
        <v>22</v>
      </c>
      <c r="B28" s="424">
        <v>29</v>
      </c>
      <c r="C28" s="425">
        <v>1400397.3</v>
      </c>
      <c r="D28" s="426" t="s">
        <v>460</v>
      </c>
      <c r="E28" s="425">
        <v>2420000</v>
      </c>
      <c r="F28" s="425">
        <v>1412497.3</v>
      </c>
      <c r="G28" s="428">
        <f t="shared" si="0"/>
        <v>872839.4</v>
      </c>
      <c r="H28" s="425"/>
      <c r="I28" s="425">
        <v>872839.4</v>
      </c>
      <c r="J28" s="425"/>
      <c r="K28" s="425"/>
      <c r="L28" s="425"/>
      <c r="M28" s="425"/>
      <c r="N28" s="425"/>
      <c r="O28" s="425"/>
      <c r="P28" s="425"/>
      <c r="Q28" s="425"/>
      <c r="R28" s="428">
        <f t="shared" si="1"/>
        <v>134663.29999999993</v>
      </c>
      <c r="S28" s="425"/>
      <c r="T28" s="425"/>
      <c r="U28" s="425"/>
      <c r="V28" s="425"/>
      <c r="W28" s="425"/>
      <c r="X28" s="425"/>
      <c r="Y28" s="425"/>
      <c r="Z28" s="425"/>
      <c r="AA28" s="425"/>
      <c r="AB28" s="429"/>
    </row>
    <row r="29" spans="1:28" s="96" customFormat="1" ht="60">
      <c r="A29" s="423">
        <v>23</v>
      </c>
      <c r="B29" s="424"/>
      <c r="C29" s="425"/>
      <c r="D29" s="426" t="s">
        <v>461</v>
      </c>
      <c r="E29" s="425">
        <v>8470000</v>
      </c>
      <c r="F29" s="425">
        <v>0</v>
      </c>
      <c r="G29" s="428">
        <f t="shared" si="0"/>
        <v>0</v>
      </c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8">
        <f t="shared" si="1"/>
        <v>8470000</v>
      </c>
      <c r="S29" s="425"/>
      <c r="T29" s="425"/>
      <c r="U29" s="425"/>
      <c r="V29" s="425"/>
      <c r="W29" s="425"/>
      <c r="X29" s="425"/>
      <c r="Y29" s="425"/>
      <c r="Z29" s="425"/>
      <c r="AA29" s="425"/>
      <c r="AB29" s="429"/>
    </row>
    <row r="30" spans="1:28" s="96" customFormat="1" ht="30">
      <c r="A30" s="423">
        <v>24</v>
      </c>
      <c r="B30" s="424"/>
      <c r="C30" s="425"/>
      <c r="D30" s="426" t="s">
        <v>656</v>
      </c>
      <c r="E30" s="425">
        <v>4235000</v>
      </c>
      <c r="F30" s="425">
        <v>0</v>
      </c>
      <c r="G30" s="428">
        <f t="shared" si="0"/>
        <v>0</v>
      </c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8">
        <f t="shared" si="1"/>
        <v>4235000</v>
      </c>
      <c r="S30" s="425"/>
      <c r="T30" s="425"/>
      <c r="U30" s="425"/>
      <c r="V30" s="425"/>
      <c r="W30" s="425"/>
      <c r="X30" s="425"/>
      <c r="Y30" s="425"/>
      <c r="Z30" s="425"/>
      <c r="AA30" s="425"/>
      <c r="AB30" s="429"/>
    </row>
    <row r="31" spans="1:28" s="96" customFormat="1" ht="15">
      <c r="A31" s="423">
        <v>25</v>
      </c>
      <c r="B31" s="424">
        <v>30</v>
      </c>
      <c r="C31" s="425">
        <v>78397</v>
      </c>
      <c r="D31" s="426" t="s">
        <v>462</v>
      </c>
      <c r="E31" s="425">
        <v>6050000</v>
      </c>
      <c r="F31" s="425">
        <v>91147</v>
      </c>
      <c r="G31" s="428">
        <f t="shared" si="0"/>
        <v>372889</v>
      </c>
      <c r="H31" s="425"/>
      <c r="I31" s="425">
        <v>372889</v>
      </c>
      <c r="J31" s="425"/>
      <c r="K31" s="425"/>
      <c r="L31" s="425"/>
      <c r="M31" s="425"/>
      <c r="N31" s="425"/>
      <c r="O31" s="425"/>
      <c r="P31" s="425"/>
      <c r="Q31" s="425"/>
      <c r="R31" s="428">
        <f t="shared" si="1"/>
        <v>5585964</v>
      </c>
      <c r="S31" s="425"/>
      <c r="T31" s="425"/>
      <c r="U31" s="425"/>
      <c r="V31" s="425"/>
      <c r="W31" s="425"/>
      <c r="X31" s="425"/>
      <c r="Y31" s="425"/>
      <c r="Z31" s="425"/>
      <c r="AA31" s="425"/>
      <c r="AB31" s="429"/>
    </row>
    <row r="32" spans="1:28" s="96" customFormat="1" ht="15">
      <c r="A32" s="423">
        <v>26</v>
      </c>
      <c r="B32" s="424"/>
      <c r="C32" s="425"/>
      <c r="D32" s="426" t="s">
        <v>463</v>
      </c>
      <c r="E32" s="425">
        <v>14520000</v>
      </c>
      <c r="F32" s="425">
        <v>0</v>
      </c>
      <c r="G32" s="428">
        <f t="shared" si="0"/>
        <v>0</v>
      </c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8">
        <f t="shared" si="1"/>
        <v>14520000</v>
      </c>
      <c r="S32" s="425"/>
      <c r="T32" s="425"/>
      <c r="U32" s="425"/>
      <c r="V32" s="425"/>
      <c r="W32" s="425"/>
      <c r="X32" s="425"/>
      <c r="Y32" s="425"/>
      <c r="Z32" s="425"/>
      <c r="AA32" s="425"/>
      <c r="AB32" s="429"/>
    </row>
    <row r="33" spans="1:28" s="96" customFormat="1" ht="15">
      <c r="A33" s="423">
        <v>27</v>
      </c>
      <c r="B33" s="424">
        <v>82</v>
      </c>
      <c r="C33" s="425">
        <v>9366850.3</v>
      </c>
      <c r="D33" s="426" t="s">
        <v>464</v>
      </c>
      <c r="E33" s="425">
        <v>30250000</v>
      </c>
      <c r="F33" s="425">
        <v>9576850.3</v>
      </c>
      <c r="G33" s="428">
        <f t="shared" si="0"/>
        <v>14155362.739999998</v>
      </c>
      <c r="H33" s="425"/>
      <c r="I33" s="425">
        <v>14155362.739999998</v>
      </c>
      <c r="J33" s="425"/>
      <c r="K33" s="425"/>
      <c r="L33" s="425"/>
      <c r="M33" s="425"/>
      <c r="N33" s="425"/>
      <c r="O33" s="425"/>
      <c r="P33" s="425"/>
      <c r="Q33" s="425"/>
      <c r="R33" s="428">
        <f t="shared" si="1"/>
        <v>6517786.960000001</v>
      </c>
      <c r="S33" s="425"/>
      <c r="T33" s="425"/>
      <c r="U33" s="425"/>
      <c r="V33" s="425"/>
      <c r="W33" s="425"/>
      <c r="X33" s="425"/>
      <c r="Y33" s="425"/>
      <c r="Z33" s="425"/>
      <c r="AA33" s="425"/>
      <c r="AB33" s="429"/>
    </row>
    <row r="34" spans="1:28" s="96" customFormat="1" ht="45">
      <c r="A34" s="423">
        <v>28</v>
      </c>
      <c r="B34" s="424"/>
      <c r="C34" s="425"/>
      <c r="D34" s="426" t="s">
        <v>657</v>
      </c>
      <c r="E34" s="425">
        <v>3630000</v>
      </c>
      <c r="F34" s="425">
        <v>0</v>
      </c>
      <c r="G34" s="428">
        <f t="shared" si="0"/>
        <v>0</v>
      </c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8">
        <f t="shared" si="1"/>
        <v>3630000</v>
      </c>
      <c r="S34" s="425"/>
      <c r="T34" s="425"/>
      <c r="U34" s="425"/>
      <c r="V34" s="425"/>
      <c r="W34" s="425"/>
      <c r="X34" s="425"/>
      <c r="Y34" s="425"/>
      <c r="Z34" s="425"/>
      <c r="AA34" s="425"/>
      <c r="AB34" s="429"/>
    </row>
    <row r="35" spans="1:28" s="96" customFormat="1" ht="15">
      <c r="A35" s="423">
        <v>29</v>
      </c>
      <c r="B35" s="424">
        <v>23</v>
      </c>
      <c r="C35" s="425">
        <v>99008</v>
      </c>
      <c r="D35" s="426" t="s">
        <v>465</v>
      </c>
      <c r="E35" s="425">
        <v>7260000</v>
      </c>
      <c r="F35" s="425">
        <v>146336.75</v>
      </c>
      <c r="G35" s="428">
        <f t="shared" si="0"/>
        <v>1987990.18</v>
      </c>
      <c r="H35" s="425"/>
      <c r="I35" s="425"/>
      <c r="J35" s="425"/>
      <c r="K35" s="425"/>
      <c r="L35" s="425">
        <f>1987990.18*0.85</f>
        <v>1689791.653</v>
      </c>
      <c r="M35" s="425"/>
      <c r="N35" s="425"/>
      <c r="O35" s="425"/>
      <c r="P35" s="425"/>
      <c r="Q35" s="425">
        <f>1987990.18*0.15</f>
        <v>298198.527</v>
      </c>
      <c r="R35" s="428">
        <f t="shared" si="1"/>
        <v>5125673.07</v>
      </c>
      <c r="S35" s="425"/>
      <c r="T35" s="425"/>
      <c r="U35" s="425"/>
      <c r="V35" s="425"/>
      <c r="W35" s="425"/>
      <c r="X35" s="425"/>
      <c r="Y35" s="425"/>
      <c r="Z35" s="425"/>
      <c r="AA35" s="425"/>
      <c r="AB35" s="429"/>
    </row>
    <row r="36" spans="1:28" s="96" customFormat="1" ht="15">
      <c r="A36" s="423">
        <v>30</v>
      </c>
      <c r="B36" s="424">
        <v>22</v>
      </c>
      <c r="C36" s="425">
        <v>537851.8500000001</v>
      </c>
      <c r="D36" s="426" t="s">
        <v>466</v>
      </c>
      <c r="E36" s="425">
        <v>5989500</v>
      </c>
      <c r="F36" s="425">
        <v>585180.6000000001</v>
      </c>
      <c r="G36" s="428">
        <f t="shared" si="0"/>
        <v>676975.1399999999</v>
      </c>
      <c r="H36" s="425"/>
      <c r="I36" s="425"/>
      <c r="J36" s="425"/>
      <c r="K36" s="425"/>
      <c r="L36" s="425">
        <f>676975.14*0.85</f>
        <v>575428.869</v>
      </c>
      <c r="M36" s="425"/>
      <c r="N36" s="425"/>
      <c r="O36" s="425"/>
      <c r="P36" s="425"/>
      <c r="Q36" s="425">
        <f>676975.14*0.15</f>
        <v>101546.271</v>
      </c>
      <c r="R36" s="428">
        <f t="shared" si="1"/>
        <v>4727344.260000001</v>
      </c>
      <c r="S36" s="425"/>
      <c r="T36" s="425"/>
      <c r="U36" s="425"/>
      <c r="V36" s="425"/>
      <c r="W36" s="425"/>
      <c r="X36" s="425"/>
      <c r="Y36" s="425"/>
      <c r="Z36" s="425"/>
      <c r="AA36" s="425"/>
      <c r="AB36" s="429"/>
    </row>
    <row r="37" spans="1:28" s="96" customFormat="1" ht="30">
      <c r="A37" s="423">
        <v>31</v>
      </c>
      <c r="B37" s="424">
        <v>16</v>
      </c>
      <c r="C37" s="425"/>
      <c r="D37" s="426" t="s">
        <v>467</v>
      </c>
      <c r="E37" s="425">
        <v>60500000</v>
      </c>
      <c r="F37" s="425">
        <v>0</v>
      </c>
      <c r="G37" s="428">
        <f t="shared" si="0"/>
        <v>0</v>
      </c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8">
        <f t="shared" si="1"/>
        <v>60500000</v>
      </c>
      <c r="S37" s="425"/>
      <c r="T37" s="425"/>
      <c r="U37" s="425"/>
      <c r="V37" s="425"/>
      <c r="W37" s="425"/>
      <c r="X37" s="425"/>
      <c r="Y37" s="425"/>
      <c r="Z37" s="425"/>
      <c r="AA37" s="425"/>
      <c r="AB37" s="429"/>
    </row>
    <row r="38" spans="1:28" s="96" customFormat="1" ht="15">
      <c r="A38" s="423">
        <v>32</v>
      </c>
      <c r="B38" s="424"/>
      <c r="C38" s="425"/>
      <c r="D38" s="426" t="s">
        <v>468</v>
      </c>
      <c r="E38" s="425">
        <v>3025000</v>
      </c>
      <c r="F38" s="425">
        <v>0</v>
      </c>
      <c r="G38" s="428">
        <f t="shared" si="0"/>
        <v>0</v>
      </c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8">
        <f t="shared" si="1"/>
        <v>3025000</v>
      </c>
      <c r="S38" s="425"/>
      <c r="T38" s="425"/>
      <c r="U38" s="425"/>
      <c r="V38" s="425"/>
      <c r="W38" s="425"/>
      <c r="X38" s="425"/>
      <c r="Y38" s="425"/>
      <c r="Z38" s="425"/>
      <c r="AA38" s="425"/>
      <c r="AB38" s="429"/>
    </row>
    <row r="39" spans="1:28" s="96" customFormat="1" ht="30">
      <c r="A39" s="423">
        <v>33</v>
      </c>
      <c r="B39" s="424">
        <v>24</v>
      </c>
      <c r="C39" s="425"/>
      <c r="D39" s="426" t="s">
        <v>469</v>
      </c>
      <c r="E39" s="425">
        <v>24200000</v>
      </c>
      <c r="F39" s="425">
        <v>95877.79</v>
      </c>
      <c r="G39" s="428">
        <f t="shared" si="0"/>
        <v>3824083.0500000003</v>
      </c>
      <c r="H39" s="425"/>
      <c r="I39" s="425">
        <v>3824083.0500000003</v>
      </c>
      <c r="J39" s="425"/>
      <c r="K39" s="425"/>
      <c r="L39" s="425"/>
      <c r="M39" s="425"/>
      <c r="N39" s="425"/>
      <c r="O39" s="425"/>
      <c r="P39" s="425"/>
      <c r="Q39" s="425"/>
      <c r="R39" s="428">
        <f t="shared" si="1"/>
        <v>20280039.16</v>
      </c>
      <c r="S39" s="425"/>
      <c r="T39" s="425"/>
      <c r="U39" s="425"/>
      <c r="V39" s="425"/>
      <c r="W39" s="425"/>
      <c r="X39" s="425"/>
      <c r="Y39" s="425"/>
      <c r="Z39" s="425"/>
      <c r="AA39" s="425"/>
      <c r="AB39" s="429"/>
    </row>
    <row r="40" spans="1:28" s="96" customFormat="1" ht="45">
      <c r="A40" s="423">
        <v>34</v>
      </c>
      <c r="B40" s="424">
        <v>39</v>
      </c>
      <c r="C40" s="425"/>
      <c r="D40" s="426" t="s">
        <v>470</v>
      </c>
      <c r="E40" s="425">
        <v>2057000</v>
      </c>
      <c r="F40" s="425">
        <v>0</v>
      </c>
      <c r="G40" s="428">
        <f t="shared" si="0"/>
        <v>0</v>
      </c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8">
        <f t="shared" si="1"/>
        <v>2057000</v>
      </c>
      <c r="S40" s="425"/>
      <c r="T40" s="425"/>
      <c r="U40" s="425"/>
      <c r="V40" s="425"/>
      <c r="W40" s="425"/>
      <c r="X40" s="425"/>
      <c r="Y40" s="425"/>
      <c r="Z40" s="425"/>
      <c r="AA40" s="425"/>
      <c r="AB40" s="429"/>
    </row>
    <row r="41" spans="1:28" s="96" customFormat="1" ht="15">
      <c r="A41" s="423">
        <v>35</v>
      </c>
      <c r="B41" s="424">
        <v>37</v>
      </c>
      <c r="C41" s="425"/>
      <c r="D41" s="426" t="s">
        <v>471</v>
      </c>
      <c r="E41" s="425">
        <v>1210000</v>
      </c>
      <c r="F41" s="425">
        <v>0</v>
      </c>
      <c r="G41" s="428">
        <f t="shared" si="0"/>
        <v>320728</v>
      </c>
      <c r="H41" s="425"/>
      <c r="I41" s="425">
        <v>320728</v>
      </c>
      <c r="J41" s="425"/>
      <c r="K41" s="425"/>
      <c r="L41" s="425"/>
      <c r="M41" s="425"/>
      <c r="N41" s="425"/>
      <c r="O41" s="425"/>
      <c r="P41" s="425"/>
      <c r="Q41" s="425"/>
      <c r="R41" s="428">
        <f t="shared" si="1"/>
        <v>889272</v>
      </c>
      <c r="S41" s="425"/>
      <c r="T41" s="425"/>
      <c r="U41" s="425"/>
      <c r="V41" s="425"/>
      <c r="W41" s="425"/>
      <c r="X41" s="425"/>
      <c r="Y41" s="425"/>
      <c r="Z41" s="425"/>
      <c r="AA41" s="425"/>
      <c r="AB41" s="429"/>
    </row>
    <row r="42" spans="1:28" s="96" customFormat="1" ht="30">
      <c r="A42" s="423">
        <v>36</v>
      </c>
      <c r="B42" s="424">
        <v>36</v>
      </c>
      <c r="C42" s="425">
        <v>313771.28</v>
      </c>
      <c r="D42" s="426" t="s">
        <v>472</v>
      </c>
      <c r="E42" s="425">
        <v>1210000</v>
      </c>
      <c r="F42" s="425">
        <v>313771.28</v>
      </c>
      <c r="G42" s="428">
        <f t="shared" si="0"/>
        <v>896228.3399999999</v>
      </c>
      <c r="H42" s="425"/>
      <c r="I42" s="425"/>
      <c r="J42" s="425"/>
      <c r="K42" s="425"/>
      <c r="L42" s="425">
        <f>896228.34*0.85</f>
        <v>761794.0889999999</v>
      </c>
      <c r="M42" s="425"/>
      <c r="N42" s="425"/>
      <c r="O42" s="425"/>
      <c r="P42" s="425"/>
      <c r="Q42" s="425">
        <f>896228.34*0.15</f>
        <v>134434.251</v>
      </c>
      <c r="R42" s="428">
        <f t="shared" si="1"/>
        <v>0.38000000012107193</v>
      </c>
      <c r="S42" s="425"/>
      <c r="T42" s="425"/>
      <c r="U42" s="425"/>
      <c r="V42" s="425"/>
      <c r="W42" s="425"/>
      <c r="X42" s="425"/>
      <c r="Y42" s="425"/>
      <c r="Z42" s="425"/>
      <c r="AA42" s="425"/>
      <c r="AB42" s="429"/>
    </row>
    <row r="43" spans="1:28" s="96" customFormat="1" ht="30">
      <c r="A43" s="423">
        <v>37</v>
      </c>
      <c r="B43" s="424">
        <v>36</v>
      </c>
      <c r="C43" s="425"/>
      <c r="D43" s="426" t="s">
        <v>473</v>
      </c>
      <c r="E43" s="425">
        <v>3630000</v>
      </c>
      <c r="F43" s="425">
        <v>0</v>
      </c>
      <c r="G43" s="428">
        <f t="shared" si="0"/>
        <v>33846</v>
      </c>
      <c r="H43" s="425"/>
      <c r="I43" s="425"/>
      <c r="J43" s="425"/>
      <c r="K43" s="425"/>
      <c r="L43" s="425">
        <f>33846*0.85</f>
        <v>28769.1</v>
      </c>
      <c r="M43" s="425"/>
      <c r="N43" s="425"/>
      <c r="O43" s="425"/>
      <c r="P43" s="425"/>
      <c r="Q43" s="425">
        <f>33846*0.15</f>
        <v>5076.9</v>
      </c>
      <c r="R43" s="428">
        <f t="shared" si="1"/>
        <v>3596154</v>
      </c>
      <c r="S43" s="425"/>
      <c r="T43" s="425"/>
      <c r="U43" s="425"/>
      <c r="V43" s="425"/>
      <c r="W43" s="425"/>
      <c r="X43" s="425"/>
      <c r="Y43" s="425"/>
      <c r="Z43" s="425"/>
      <c r="AA43" s="425"/>
      <c r="AB43" s="429"/>
    </row>
    <row r="44" spans="1:28" s="96" customFormat="1" ht="30">
      <c r="A44" s="423">
        <v>38</v>
      </c>
      <c r="B44" s="424">
        <v>20</v>
      </c>
      <c r="C44" s="425">
        <v>822952.29</v>
      </c>
      <c r="D44" s="426" t="s">
        <v>474</v>
      </c>
      <c r="E44" s="425">
        <v>11442268.2</v>
      </c>
      <c r="F44" s="425">
        <v>822952.29</v>
      </c>
      <c r="G44" s="428">
        <f t="shared" si="0"/>
        <v>1808515</v>
      </c>
      <c r="H44" s="425"/>
      <c r="I44" s="425">
        <v>1808515</v>
      </c>
      <c r="J44" s="425"/>
      <c r="K44" s="425"/>
      <c r="L44" s="425"/>
      <c r="M44" s="425"/>
      <c r="N44" s="425"/>
      <c r="O44" s="425"/>
      <c r="P44" s="425"/>
      <c r="Q44" s="425"/>
      <c r="R44" s="428">
        <f t="shared" si="1"/>
        <v>8810800.91</v>
      </c>
      <c r="S44" s="425"/>
      <c r="T44" s="425"/>
      <c r="U44" s="425"/>
      <c r="V44" s="425"/>
      <c r="W44" s="425"/>
      <c r="X44" s="425"/>
      <c r="Y44" s="425"/>
      <c r="Z44" s="425"/>
      <c r="AA44" s="425"/>
      <c r="AB44" s="429"/>
    </row>
    <row r="45" spans="1:28" s="96" customFormat="1" ht="30">
      <c r="A45" s="423">
        <v>39</v>
      </c>
      <c r="B45" s="424">
        <v>35</v>
      </c>
      <c r="C45" s="425"/>
      <c r="D45" s="426" t="s">
        <v>475</v>
      </c>
      <c r="E45" s="425">
        <v>7736146</v>
      </c>
      <c r="F45" s="425">
        <v>0</v>
      </c>
      <c r="G45" s="428">
        <f t="shared" si="0"/>
        <v>0</v>
      </c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8">
        <f t="shared" si="1"/>
        <v>7736146</v>
      </c>
      <c r="S45" s="425"/>
      <c r="T45" s="425"/>
      <c r="U45" s="425"/>
      <c r="V45" s="425"/>
      <c r="W45" s="425"/>
      <c r="X45" s="425"/>
      <c r="Y45" s="425"/>
      <c r="Z45" s="425"/>
      <c r="AA45" s="425"/>
      <c r="AB45" s="429"/>
    </row>
    <row r="46" spans="1:28" s="96" customFormat="1" ht="30">
      <c r="A46" s="430" t="s">
        <v>476</v>
      </c>
      <c r="B46" s="431"/>
      <c r="C46" s="425"/>
      <c r="D46" s="737" t="s">
        <v>477</v>
      </c>
      <c r="E46" s="425">
        <v>5687000</v>
      </c>
      <c r="F46" s="425">
        <v>0</v>
      </c>
      <c r="G46" s="428">
        <f t="shared" si="0"/>
        <v>0</v>
      </c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8">
        <f t="shared" si="1"/>
        <v>5687000</v>
      </c>
      <c r="S46" s="425"/>
      <c r="T46" s="425"/>
      <c r="U46" s="425"/>
      <c r="V46" s="425"/>
      <c r="W46" s="425"/>
      <c r="X46" s="425"/>
      <c r="Y46" s="425"/>
      <c r="Z46" s="425"/>
      <c r="AA46" s="425"/>
      <c r="AB46" s="429"/>
    </row>
    <row r="47" spans="1:28" s="96" customFormat="1" ht="30">
      <c r="A47" s="430" t="s">
        <v>478</v>
      </c>
      <c r="B47" s="431"/>
      <c r="C47" s="425"/>
      <c r="D47" s="733" t="s">
        <v>479</v>
      </c>
      <c r="E47" s="734">
        <v>3006001.79</v>
      </c>
      <c r="F47" s="734">
        <v>2737521.39</v>
      </c>
      <c r="G47" s="428">
        <f t="shared" si="0"/>
        <v>0</v>
      </c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5">
        <v>0</v>
      </c>
      <c r="S47" s="734"/>
      <c r="T47" s="734"/>
      <c r="U47" s="734"/>
      <c r="V47" s="734"/>
      <c r="W47" s="734"/>
      <c r="X47" s="734"/>
      <c r="Y47" s="734"/>
      <c r="Z47" s="734"/>
      <c r="AA47" s="734"/>
      <c r="AB47" s="736"/>
    </row>
    <row r="48" spans="1:28" s="96" customFormat="1" ht="15">
      <c r="A48" s="430" t="s">
        <v>480</v>
      </c>
      <c r="B48" s="431"/>
      <c r="C48" s="425"/>
      <c r="D48" s="733" t="s">
        <v>481</v>
      </c>
      <c r="E48" s="734">
        <v>1855841.13</v>
      </c>
      <c r="F48" s="734">
        <v>0</v>
      </c>
      <c r="G48" s="735">
        <f t="shared" si="0"/>
        <v>1856262.48</v>
      </c>
      <c r="H48" s="734"/>
      <c r="I48" s="734"/>
      <c r="J48" s="734"/>
      <c r="K48" s="734"/>
      <c r="L48" s="734"/>
      <c r="M48" s="734"/>
      <c r="N48" s="734">
        <v>1567975.2</v>
      </c>
      <c r="O48" s="734"/>
      <c r="P48" s="734"/>
      <c r="Q48" s="734">
        <f>1856262.48-N48</f>
        <v>288287.28</v>
      </c>
      <c r="R48" s="735">
        <f t="shared" si="1"/>
        <v>-421.35000000009313</v>
      </c>
      <c r="S48" s="734"/>
      <c r="T48" s="734"/>
      <c r="U48" s="734"/>
      <c r="V48" s="734"/>
      <c r="W48" s="734"/>
      <c r="X48" s="734"/>
      <c r="Y48" s="734"/>
      <c r="Z48" s="734"/>
      <c r="AA48" s="734"/>
      <c r="AB48" s="736"/>
    </row>
    <row r="49" spans="1:28" s="96" customFormat="1" ht="15">
      <c r="A49" s="430" t="s">
        <v>482</v>
      </c>
      <c r="B49" s="431"/>
      <c r="C49" s="425"/>
      <c r="D49" s="737" t="s">
        <v>483</v>
      </c>
      <c r="E49" s="425">
        <v>2420000</v>
      </c>
      <c r="F49" s="425">
        <v>0</v>
      </c>
      <c r="G49" s="428">
        <f t="shared" si="0"/>
        <v>0</v>
      </c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8">
        <f t="shared" si="1"/>
        <v>2420000</v>
      </c>
      <c r="S49" s="425"/>
      <c r="T49" s="425"/>
      <c r="U49" s="425"/>
      <c r="V49" s="425"/>
      <c r="W49" s="425"/>
      <c r="X49" s="425"/>
      <c r="Y49" s="425"/>
      <c r="Z49" s="425"/>
      <c r="AA49" s="425"/>
      <c r="AB49" s="429"/>
    </row>
    <row r="50" spans="1:28" s="96" customFormat="1" ht="15">
      <c r="A50" s="430" t="s">
        <v>484</v>
      </c>
      <c r="B50" s="431"/>
      <c r="C50" s="425"/>
      <c r="D50" s="733" t="s">
        <v>485</v>
      </c>
      <c r="E50" s="734">
        <v>2178000</v>
      </c>
      <c r="F50" s="734">
        <v>1994090.76</v>
      </c>
      <c r="G50" s="428">
        <f t="shared" si="0"/>
        <v>0</v>
      </c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5"/>
      <c r="S50" s="734"/>
      <c r="T50" s="734"/>
      <c r="U50" s="734"/>
      <c r="V50" s="734"/>
      <c r="W50" s="734"/>
      <c r="X50" s="734"/>
      <c r="Y50" s="734"/>
      <c r="Z50" s="734"/>
      <c r="AA50" s="734"/>
      <c r="AB50" s="736"/>
    </row>
    <row r="51" spans="1:28" s="96" customFormat="1" ht="30">
      <c r="A51" s="430" t="s">
        <v>486</v>
      </c>
      <c r="B51" s="431"/>
      <c r="C51" s="425"/>
      <c r="D51" s="733" t="s">
        <v>487</v>
      </c>
      <c r="E51" s="734">
        <v>4012211.17</v>
      </c>
      <c r="F51" s="734">
        <v>515687.63</v>
      </c>
      <c r="G51" s="735">
        <f t="shared" si="0"/>
        <v>3867049.65</v>
      </c>
      <c r="H51" s="734"/>
      <c r="I51" s="734"/>
      <c r="J51" s="734"/>
      <c r="K51" s="734"/>
      <c r="L51" s="734"/>
      <c r="M51" s="734"/>
      <c r="N51" s="734">
        <v>2817752.15</v>
      </c>
      <c r="O51" s="734"/>
      <c r="P51" s="734"/>
      <c r="Q51" s="734">
        <f>3867049.65-N51-B51</f>
        <v>1049297.5</v>
      </c>
      <c r="R51" s="735">
        <f t="shared" si="1"/>
        <v>-370526.10999999987</v>
      </c>
      <c r="S51" s="734"/>
      <c r="T51" s="734"/>
      <c r="U51" s="734"/>
      <c r="V51" s="734"/>
      <c r="W51" s="734"/>
      <c r="X51" s="734"/>
      <c r="Y51" s="734"/>
      <c r="Z51" s="734"/>
      <c r="AA51" s="734"/>
      <c r="AB51" s="736"/>
    </row>
    <row r="52" spans="1:28" s="96" customFormat="1" ht="15">
      <c r="A52" s="430" t="s">
        <v>488</v>
      </c>
      <c r="B52" s="431"/>
      <c r="C52" s="425"/>
      <c r="D52" s="737" t="s">
        <v>489</v>
      </c>
      <c r="E52" s="425">
        <v>1573000</v>
      </c>
      <c r="F52" s="425">
        <v>0</v>
      </c>
      <c r="G52" s="428">
        <f t="shared" si="0"/>
        <v>0</v>
      </c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8">
        <f t="shared" si="1"/>
        <v>1573000</v>
      </c>
      <c r="S52" s="425"/>
      <c r="T52" s="425"/>
      <c r="U52" s="425"/>
      <c r="V52" s="425"/>
      <c r="W52" s="425"/>
      <c r="X52" s="425"/>
      <c r="Y52" s="425"/>
      <c r="Z52" s="425"/>
      <c r="AA52" s="425"/>
      <c r="AB52" s="429"/>
    </row>
    <row r="53" spans="1:28" s="96" customFormat="1" ht="15">
      <c r="A53" s="430" t="s">
        <v>490</v>
      </c>
      <c r="B53" s="431"/>
      <c r="C53" s="425"/>
      <c r="D53" s="738" t="s">
        <v>491</v>
      </c>
      <c r="E53" s="734">
        <v>1627810.5799999998</v>
      </c>
      <c r="F53" s="734">
        <f>1060161.98*1.21</f>
        <v>1282795.9958</v>
      </c>
      <c r="G53" s="428">
        <f t="shared" si="0"/>
        <v>0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5">
        <v>0</v>
      </c>
      <c r="S53" s="734"/>
      <c r="T53" s="734"/>
      <c r="U53" s="734"/>
      <c r="V53" s="734"/>
      <c r="W53" s="734"/>
      <c r="X53" s="734"/>
      <c r="Y53" s="734"/>
      <c r="Z53" s="734"/>
      <c r="AA53" s="734"/>
      <c r="AB53" s="736"/>
    </row>
    <row r="54" spans="1:28" s="96" customFormat="1" ht="15">
      <c r="A54" s="430" t="s">
        <v>492</v>
      </c>
      <c r="B54" s="431"/>
      <c r="C54" s="425"/>
      <c r="D54" s="733" t="s">
        <v>493</v>
      </c>
      <c r="E54" s="734">
        <v>4017037.86</v>
      </c>
      <c r="F54" s="734">
        <v>3640353.05</v>
      </c>
      <c r="G54" s="428">
        <f t="shared" si="0"/>
        <v>0</v>
      </c>
      <c r="H54" s="734"/>
      <c r="I54" s="734"/>
      <c r="J54" s="734"/>
      <c r="K54" s="734"/>
      <c r="L54" s="734"/>
      <c r="M54" s="734"/>
      <c r="N54" s="734"/>
      <c r="O54" s="734"/>
      <c r="P54" s="734"/>
      <c r="Q54" s="734"/>
      <c r="R54" s="735">
        <v>0</v>
      </c>
      <c r="S54" s="734"/>
      <c r="T54" s="734"/>
      <c r="U54" s="734"/>
      <c r="V54" s="734"/>
      <c r="W54" s="734"/>
      <c r="X54" s="734"/>
      <c r="Y54" s="734"/>
      <c r="Z54" s="734"/>
      <c r="AA54" s="734"/>
      <c r="AB54" s="736"/>
    </row>
    <row r="55" spans="1:28" s="96" customFormat="1" ht="30">
      <c r="A55" s="423" t="s">
        <v>494</v>
      </c>
      <c r="B55" s="424" t="s">
        <v>495</v>
      </c>
      <c r="C55" s="425">
        <f>1239213.1+1303920.53+1161262.34</f>
        <v>3704395.9699999997</v>
      </c>
      <c r="D55" s="733" t="s">
        <v>496</v>
      </c>
      <c r="E55" s="734">
        <v>3962408</v>
      </c>
      <c r="F55" s="734">
        <v>3704395.9699999997</v>
      </c>
      <c r="G55" s="428">
        <f t="shared" si="0"/>
        <v>0</v>
      </c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5">
        <v>0</v>
      </c>
      <c r="S55" s="734"/>
      <c r="T55" s="734"/>
      <c r="U55" s="734"/>
      <c r="V55" s="734"/>
      <c r="W55" s="734"/>
      <c r="X55" s="734"/>
      <c r="Y55" s="734"/>
      <c r="Z55" s="734"/>
      <c r="AA55" s="734"/>
      <c r="AB55" s="736"/>
    </row>
    <row r="56" spans="1:28" s="96" customFormat="1" ht="30">
      <c r="A56" s="423" t="s">
        <v>497</v>
      </c>
      <c r="B56" s="424"/>
      <c r="C56" s="425"/>
      <c r="D56" s="733" t="s">
        <v>498</v>
      </c>
      <c r="E56" s="734">
        <v>1948369.37</v>
      </c>
      <c r="F56" s="734">
        <v>0</v>
      </c>
      <c r="G56" s="735">
        <f t="shared" si="0"/>
        <v>1459098.31</v>
      </c>
      <c r="H56" s="734"/>
      <c r="I56" s="734"/>
      <c r="J56" s="734"/>
      <c r="K56" s="734"/>
      <c r="L56" s="734"/>
      <c r="M56" s="734"/>
      <c r="N56" s="734">
        <v>1459098.31</v>
      </c>
      <c r="O56" s="734"/>
      <c r="P56" s="734"/>
      <c r="Q56" s="734"/>
      <c r="R56" s="735">
        <f t="shared" si="1"/>
        <v>489271.06000000006</v>
      </c>
      <c r="S56" s="734"/>
      <c r="T56" s="734"/>
      <c r="U56" s="734"/>
      <c r="V56" s="734"/>
      <c r="W56" s="734"/>
      <c r="X56" s="734"/>
      <c r="Y56" s="734"/>
      <c r="Z56" s="734"/>
      <c r="AA56" s="734"/>
      <c r="AB56" s="736"/>
    </row>
    <row r="57" spans="1:28" s="96" customFormat="1" ht="15">
      <c r="A57" s="423" t="s">
        <v>499</v>
      </c>
      <c r="B57" s="424"/>
      <c r="C57" s="425"/>
      <c r="D57" s="737" t="s">
        <v>500</v>
      </c>
      <c r="E57" s="425">
        <v>1905000</v>
      </c>
      <c r="F57" s="425">
        <f>24751*1.21</f>
        <v>29948.71</v>
      </c>
      <c r="G57" s="428">
        <f t="shared" si="0"/>
        <v>53845</v>
      </c>
      <c r="H57" s="425"/>
      <c r="I57" s="425"/>
      <c r="J57" s="425"/>
      <c r="K57" s="425"/>
      <c r="L57" s="425"/>
      <c r="M57" s="425"/>
      <c r="N57" s="425"/>
      <c r="O57" s="425"/>
      <c r="P57" s="425"/>
      <c r="Q57" s="427">
        <f>44500*1.21</f>
        <v>53845</v>
      </c>
      <c r="R57" s="428">
        <f t="shared" si="1"/>
        <v>1821206.29</v>
      </c>
      <c r="S57" s="425"/>
      <c r="T57" s="425"/>
      <c r="U57" s="425"/>
      <c r="V57" s="425"/>
      <c r="W57" s="425"/>
      <c r="X57" s="425"/>
      <c r="Y57" s="425"/>
      <c r="Z57" s="425"/>
      <c r="AA57" s="425"/>
      <c r="AB57" s="429"/>
    </row>
    <row r="58" spans="1:28" s="96" customFormat="1" ht="15">
      <c r="A58" s="423" t="s">
        <v>501</v>
      </c>
      <c r="B58" s="424"/>
      <c r="C58" s="425"/>
      <c r="D58" s="739" t="s">
        <v>658</v>
      </c>
      <c r="E58" s="740">
        <v>35667311</v>
      </c>
      <c r="F58" s="740">
        <v>0</v>
      </c>
      <c r="G58" s="741">
        <f t="shared" si="0"/>
        <v>0</v>
      </c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1">
        <f t="shared" si="1"/>
        <v>35667311</v>
      </c>
      <c r="S58" s="740"/>
      <c r="T58" s="740"/>
      <c r="U58" s="740"/>
      <c r="V58" s="740"/>
      <c r="W58" s="740"/>
      <c r="X58" s="740"/>
      <c r="Y58" s="740"/>
      <c r="Z58" s="740"/>
      <c r="AA58" s="740"/>
      <c r="AB58" s="742"/>
    </row>
    <row r="59" spans="1:28" s="96" customFormat="1" ht="15">
      <c r="A59" s="423" t="s">
        <v>503</v>
      </c>
      <c r="B59" s="424">
        <v>45</v>
      </c>
      <c r="C59" s="425"/>
      <c r="D59" s="426" t="s">
        <v>502</v>
      </c>
      <c r="E59" s="425">
        <v>784080</v>
      </c>
      <c r="F59" s="425">
        <v>0</v>
      </c>
      <c r="G59" s="428">
        <f t="shared" si="0"/>
        <v>0</v>
      </c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8">
        <f t="shared" si="1"/>
        <v>784080</v>
      </c>
      <c r="S59" s="425"/>
      <c r="T59" s="425"/>
      <c r="U59" s="425"/>
      <c r="V59" s="425"/>
      <c r="W59" s="425"/>
      <c r="X59" s="425"/>
      <c r="Y59" s="425"/>
      <c r="Z59" s="425"/>
      <c r="AA59" s="425"/>
      <c r="AB59" s="429"/>
    </row>
    <row r="60" spans="1:28" s="96" customFormat="1" ht="15">
      <c r="A60" s="423" t="s">
        <v>505</v>
      </c>
      <c r="B60" s="424"/>
      <c r="C60" s="425"/>
      <c r="D60" s="426" t="s">
        <v>504</v>
      </c>
      <c r="E60" s="425">
        <v>7253241</v>
      </c>
      <c r="F60" s="425">
        <v>0</v>
      </c>
      <c r="G60" s="428">
        <f t="shared" si="0"/>
        <v>976075.5</v>
      </c>
      <c r="H60" s="425"/>
      <c r="I60" s="425">
        <v>976075.5</v>
      </c>
      <c r="J60" s="425"/>
      <c r="K60" s="425"/>
      <c r="L60" s="425"/>
      <c r="M60" s="425"/>
      <c r="N60" s="425"/>
      <c r="O60" s="425"/>
      <c r="P60" s="425"/>
      <c r="Q60" s="425"/>
      <c r="R60" s="428">
        <f t="shared" si="1"/>
        <v>6277165.5</v>
      </c>
      <c r="S60" s="425"/>
      <c r="T60" s="425"/>
      <c r="U60" s="425"/>
      <c r="V60" s="425"/>
      <c r="W60" s="425"/>
      <c r="X60" s="425"/>
      <c r="Y60" s="425"/>
      <c r="Z60" s="425"/>
      <c r="AA60" s="425"/>
      <c r="AB60" s="429"/>
    </row>
    <row r="61" spans="2:28" s="95" customFormat="1" ht="15">
      <c r="B61" s="432"/>
      <c r="D61" s="737" t="s">
        <v>506</v>
      </c>
      <c r="E61" s="425">
        <v>1820521.49</v>
      </c>
      <c r="F61" s="425">
        <v>55256.39</v>
      </c>
      <c r="G61" s="428">
        <f t="shared" si="0"/>
        <v>0</v>
      </c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8">
        <f t="shared" si="1"/>
        <v>1765265.1</v>
      </c>
      <c r="S61" s="425"/>
      <c r="T61" s="425"/>
      <c r="U61" s="425"/>
      <c r="V61" s="425"/>
      <c r="W61" s="425"/>
      <c r="X61" s="425"/>
      <c r="Y61" s="425"/>
      <c r="Z61" s="425"/>
      <c r="AA61" s="425"/>
      <c r="AB61" s="429"/>
    </row>
    <row r="62" spans="4:28" ht="30">
      <c r="D62" s="426" t="s">
        <v>659</v>
      </c>
      <c r="E62" s="425">
        <v>3630000</v>
      </c>
      <c r="F62" s="425">
        <v>0</v>
      </c>
      <c r="G62" s="428">
        <f t="shared" si="0"/>
        <v>0</v>
      </c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8">
        <f t="shared" si="1"/>
        <v>3630000</v>
      </c>
      <c r="S62" s="425"/>
      <c r="T62" s="425"/>
      <c r="U62" s="425"/>
      <c r="V62" s="425"/>
      <c r="W62" s="425"/>
      <c r="X62" s="425"/>
      <c r="Y62" s="425"/>
      <c r="Z62" s="425"/>
      <c r="AA62" s="425"/>
      <c r="AB62" s="429"/>
    </row>
    <row r="63" spans="2:28" s="96" customFormat="1" ht="15">
      <c r="B63" s="437"/>
      <c r="D63" s="426" t="s">
        <v>660</v>
      </c>
      <c r="E63" s="425">
        <v>3630000</v>
      </c>
      <c r="F63" s="425">
        <v>0</v>
      </c>
      <c r="G63" s="428">
        <f t="shared" si="0"/>
        <v>0</v>
      </c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8">
        <f t="shared" si="1"/>
        <v>3630000</v>
      </c>
      <c r="S63" s="425"/>
      <c r="T63" s="425"/>
      <c r="U63" s="425"/>
      <c r="V63" s="425"/>
      <c r="W63" s="425"/>
      <c r="X63" s="425"/>
      <c r="Y63" s="425"/>
      <c r="Z63" s="425"/>
      <c r="AA63" s="425"/>
      <c r="AB63" s="429"/>
    </row>
    <row r="64" spans="2:28" s="96" customFormat="1" ht="15">
      <c r="B64" s="437"/>
      <c r="D64" s="426" t="s">
        <v>661</v>
      </c>
      <c r="E64" s="425">
        <v>1815000</v>
      </c>
      <c r="F64" s="425">
        <v>0</v>
      </c>
      <c r="G64" s="428">
        <f t="shared" si="0"/>
        <v>337885.37</v>
      </c>
      <c r="H64" s="425"/>
      <c r="I64" s="425"/>
      <c r="J64" s="425"/>
      <c r="K64" s="425"/>
      <c r="L64" s="425"/>
      <c r="M64" s="425"/>
      <c r="N64" s="425"/>
      <c r="O64" s="425">
        <v>151473</v>
      </c>
      <c r="P64" s="425"/>
      <c r="Q64" s="425">
        <f>337885.37-O64</f>
        <v>186412.37</v>
      </c>
      <c r="R64" s="428">
        <f t="shared" si="1"/>
        <v>1477114.63</v>
      </c>
      <c r="S64" s="425"/>
      <c r="T64" s="425"/>
      <c r="U64" s="425"/>
      <c r="V64" s="425"/>
      <c r="W64" s="425"/>
      <c r="X64" s="425"/>
      <c r="Y64" s="425"/>
      <c r="Z64" s="425"/>
      <c r="AA64" s="425"/>
      <c r="AB64" s="429"/>
    </row>
    <row r="65" spans="2:28" s="96" customFormat="1" ht="30">
      <c r="B65" s="437"/>
      <c r="D65" s="426" t="s">
        <v>662</v>
      </c>
      <c r="E65" s="425">
        <v>4833950</v>
      </c>
      <c r="F65" s="425">
        <v>0</v>
      </c>
      <c r="G65" s="428">
        <f t="shared" si="0"/>
        <v>0</v>
      </c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8">
        <f t="shared" si="1"/>
        <v>4833950</v>
      </c>
      <c r="S65" s="425"/>
      <c r="T65" s="425"/>
      <c r="U65" s="425"/>
      <c r="V65" s="425"/>
      <c r="W65" s="425"/>
      <c r="X65" s="425"/>
      <c r="Y65" s="425"/>
      <c r="Z65" s="425"/>
      <c r="AA65" s="425"/>
      <c r="AB65" s="429"/>
    </row>
    <row r="66" spans="2:28" s="96" customFormat="1" ht="30">
      <c r="B66" s="437"/>
      <c r="D66" s="426" t="s">
        <v>663</v>
      </c>
      <c r="E66" s="425">
        <v>4603324</v>
      </c>
      <c r="F66" s="425">
        <v>0</v>
      </c>
      <c r="G66" s="428">
        <f t="shared" si="0"/>
        <v>0</v>
      </c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8">
        <f t="shared" si="1"/>
        <v>4603324</v>
      </c>
      <c r="S66" s="425"/>
      <c r="T66" s="425"/>
      <c r="U66" s="425"/>
      <c r="V66" s="425"/>
      <c r="W66" s="425"/>
      <c r="X66" s="425"/>
      <c r="Y66" s="425"/>
      <c r="Z66" s="425"/>
      <c r="AA66" s="425"/>
      <c r="AB66" s="429"/>
    </row>
    <row r="67" spans="2:28" s="96" customFormat="1" ht="15">
      <c r="B67" s="437"/>
      <c r="D67" s="426" t="s">
        <v>664</v>
      </c>
      <c r="E67" s="425">
        <v>2904000</v>
      </c>
      <c r="F67" s="425">
        <v>0</v>
      </c>
      <c r="G67" s="428">
        <f t="shared" si="0"/>
        <v>0</v>
      </c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8">
        <f t="shared" si="1"/>
        <v>2904000</v>
      </c>
      <c r="S67" s="425"/>
      <c r="T67" s="425"/>
      <c r="U67" s="425"/>
      <c r="V67" s="425"/>
      <c r="W67" s="425"/>
      <c r="X67" s="425"/>
      <c r="Y67" s="425"/>
      <c r="Z67" s="425"/>
      <c r="AA67" s="425"/>
      <c r="AB67" s="429"/>
    </row>
    <row r="68" spans="2:28" s="96" customFormat="1" ht="15">
      <c r="B68" s="437"/>
      <c r="D68" s="426" t="s">
        <v>665</v>
      </c>
      <c r="E68" s="425">
        <v>4816622.8</v>
      </c>
      <c r="F68" s="425">
        <v>0</v>
      </c>
      <c r="G68" s="428">
        <f t="shared" si="0"/>
        <v>0</v>
      </c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8">
        <f t="shared" si="1"/>
        <v>4816622.8</v>
      </c>
      <c r="S68" s="425"/>
      <c r="T68" s="425"/>
      <c r="U68" s="425"/>
      <c r="V68" s="425"/>
      <c r="W68" s="425"/>
      <c r="X68" s="425"/>
      <c r="Y68" s="425"/>
      <c r="Z68" s="425"/>
      <c r="AA68" s="425"/>
      <c r="AB68" s="429"/>
    </row>
    <row r="69" spans="2:28" s="95" customFormat="1" ht="15">
      <c r="B69" s="432"/>
      <c r="D69" s="426" t="s">
        <v>666</v>
      </c>
      <c r="E69" s="425">
        <v>53313040</v>
      </c>
      <c r="F69" s="425">
        <v>0</v>
      </c>
      <c r="G69" s="428">
        <f t="shared" si="0"/>
        <v>0</v>
      </c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8">
        <f t="shared" si="1"/>
        <v>53313040</v>
      </c>
      <c r="S69" s="425"/>
      <c r="T69" s="425"/>
      <c r="U69" s="425"/>
      <c r="V69" s="425"/>
      <c r="W69" s="425"/>
      <c r="X69" s="425"/>
      <c r="Y69" s="425"/>
      <c r="Z69" s="425"/>
      <c r="AA69" s="425"/>
      <c r="AB69" s="429"/>
    </row>
    <row r="70" spans="4:28" ht="30">
      <c r="D70" s="426" t="s">
        <v>667</v>
      </c>
      <c r="E70" s="425">
        <v>74335000</v>
      </c>
      <c r="F70" s="425">
        <v>0</v>
      </c>
      <c r="G70" s="428">
        <f t="shared" si="0"/>
        <v>0</v>
      </c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8">
        <f t="shared" si="1"/>
        <v>74335000</v>
      </c>
      <c r="S70" s="425"/>
      <c r="T70" s="425"/>
      <c r="U70" s="425"/>
      <c r="V70" s="425"/>
      <c r="W70" s="425"/>
      <c r="X70" s="425"/>
      <c r="Y70" s="425"/>
      <c r="Z70" s="425"/>
      <c r="AA70" s="425"/>
      <c r="AB70" s="429"/>
    </row>
    <row r="71" spans="4:28" ht="30">
      <c r="D71" s="426" t="s">
        <v>668</v>
      </c>
      <c r="E71" s="425">
        <v>93572040</v>
      </c>
      <c r="F71" s="425">
        <v>0</v>
      </c>
      <c r="G71" s="428">
        <f t="shared" si="0"/>
        <v>0</v>
      </c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8">
        <f t="shared" si="1"/>
        <v>93572040</v>
      </c>
      <c r="S71" s="425"/>
      <c r="T71" s="425"/>
      <c r="U71" s="425"/>
      <c r="V71" s="425"/>
      <c r="W71" s="425"/>
      <c r="X71" s="425"/>
      <c r="Y71" s="425"/>
      <c r="Z71" s="425"/>
      <c r="AA71" s="425"/>
      <c r="AB71" s="429"/>
    </row>
    <row r="72" spans="4:28" ht="15">
      <c r="D72" s="426"/>
      <c r="E72" s="425"/>
      <c r="F72" s="425">
        <v>0</v>
      </c>
      <c r="G72" s="428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8">
        <f t="shared" si="1"/>
        <v>0</v>
      </c>
      <c r="S72" s="425"/>
      <c r="T72" s="425"/>
      <c r="U72" s="425"/>
      <c r="V72" s="425"/>
      <c r="W72" s="425"/>
      <c r="X72" s="425"/>
      <c r="Y72" s="425"/>
      <c r="Z72" s="425"/>
      <c r="AA72" s="425"/>
      <c r="AB72" s="429"/>
    </row>
    <row r="73" spans="4:28" ht="15.75" thickBot="1">
      <c r="D73" s="426"/>
      <c r="E73" s="425"/>
      <c r="F73" s="425">
        <v>0</v>
      </c>
      <c r="G73" s="428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8">
        <f t="shared" si="1"/>
        <v>0</v>
      </c>
      <c r="S73" s="425"/>
      <c r="T73" s="425"/>
      <c r="U73" s="425"/>
      <c r="V73" s="425"/>
      <c r="W73" s="425"/>
      <c r="X73" s="425"/>
      <c r="Y73" s="425"/>
      <c r="Z73" s="425"/>
      <c r="AA73" s="425"/>
      <c r="AB73" s="429"/>
    </row>
    <row r="74" spans="4:28" ht="15.75" thickBot="1">
      <c r="D74" s="264" t="s">
        <v>203</v>
      </c>
      <c r="E74" s="433">
        <f>SUM(E7:E73)</f>
        <v>1369609924.3899999</v>
      </c>
      <c r="F74" s="433">
        <f aca="true" t="shared" si="2" ref="F74:Q74">SUM(F7:F73)</f>
        <v>34371387.485800005</v>
      </c>
      <c r="G74" s="434">
        <f t="shared" si="2"/>
        <v>117301380.95000002</v>
      </c>
      <c r="H74" s="435">
        <f t="shared" si="2"/>
        <v>0</v>
      </c>
      <c r="I74" s="435">
        <f t="shared" si="2"/>
        <v>67526459.44999999</v>
      </c>
      <c r="J74" s="435">
        <f t="shared" si="2"/>
        <v>0</v>
      </c>
      <c r="K74" s="435">
        <f t="shared" si="2"/>
        <v>0</v>
      </c>
      <c r="L74" s="435">
        <f t="shared" si="2"/>
        <v>5254593.7754999995</v>
      </c>
      <c r="M74" s="435">
        <f t="shared" si="2"/>
        <v>0</v>
      </c>
      <c r="N74" s="435">
        <f t="shared" si="2"/>
        <v>30292705.659999996</v>
      </c>
      <c r="O74" s="435">
        <f t="shared" si="2"/>
        <v>11722498.66</v>
      </c>
      <c r="P74" s="435">
        <f t="shared" si="2"/>
        <v>0</v>
      </c>
      <c r="Q74" s="435">
        <f t="shared" si="2"/>
        <v>2505123.4045</v>
      </c>
      <c r="R74" s="434">
        <f>SUM(R7:R73)</f>
        <v>1216505054.8899999</v>
      </c>
      <c r="S74" s="435">
        <f aca="true" t="shared" si="3" ref="S74:AB74">SUM(S7:S73)</f>
        <v>0</v>
      </c>
      <c r="T74" s="435">
        <f t="shared" si="3"/>
        <v>0</v>
      </c>
      <c r="U74" s="435">
        <f t="shared" si="3"/>
        <v>0</v>
      </c>
      <c r="V74" s="435">
        <f t="shared" si="3"/>
        <v>0</v>
      </c>
      <c r="W74" s="435">
        <f t="shared" si="3"/>
        <v>0</v>
      </c>
      <c r="X74" s="435">
        <f t="shared" si="3"/>
        <v>0</v>
      </c>
      <c r="Y74" s="435">
        <f t="shared" si="3"/>
        <v>0</v>
      </c>
      <c r="Z74" s="435">
        <f t="shared" si="3"/>
        <v>0</v>
      </c>
      <c r="AA74" s="435">
        <f t="shared" si="3"/>
        <v>0</v>
      </c>
      <c r="AB74" s="436">
        <f t="shared" si="3"/>
        <v>0</v>
      </c>
    </row>
    <row r="75" spans="4:28" ht="15">
      <c r="D75" s="893" t="s">
        <v>307</v>
      </c>
      <c r="E75" s="894"/>
      <c r="F75" s="894"/>
      <c r="G75" s="894"/>
      <c r="H75" s="894"/>
      <c r="I75" s="894"/>
      <c r="J75" s="894"/>
      <c r="K75" s="894"/>
      <c r="L75" s="894"/>
      <c r="M75" s="894"/>
      <c r="N75" s="894"/>
      <c r="O75" s="894"/>
      <c r="P75" s="894"/>
      <c r="Q75" s="894"/>
      <c r="R75" s="894"/>
      <c r="S75" s="894"/>
      <c r="T75" s="894"/>
      <c r="U75" s="894"/>
      <c r="V75" s="894"/>
      <c r="W75" s="894"/>
      <c r="X75" s="894"/>
      <c r="Y75" s="894"/>
      <c r="Z75" s="894"/>
      <c r="AA75" s="894"/>
      <c r="AB75" s="895"/>
    </row>
    <row r="76" spans="4:28" ht="15">
      <c r="D76" s="438"/>
      <c r="E76" s="261"/>
      <c r="F76" s="261"/>
      <c r="G76" s="262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2"/>
      <c r="S76" s="261"/>
      <c r="T76" s="261"/>
      <c r="U76" s="261"/>
      <c r="V76" s="261"/>
      <c r="W76" s="261"/>
      <c r="X76" s="261"/>
      <c r="Y76" s="261"/>
      <c r="Z76" s="261"/>
      <c r="AA76" s="261"/>
      <c r="AB76" s="263"/>
    </row>
    <row r="77" spans="4:28" ht="15">
      <c r="D77" s="438"/>
      <c r="E77" s="261"/>
      <c r="F77" s="261"/>
      <c r="G77" s="262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2"/>
      <c r="S77" s="261"/>
      <c r="T77" s="261"/>
      <c r="U77" s="261"/>
      <c r="V77" s="261"/>
      <c r="W77" s="261"/>
      <c r="X77" s="261"/>
      <c r="Y77" s="261"/>
      <c r="Z77" s="261"/>
      <c r="AA77" s="261"/>
      <c r="AB77" s="263"/>
    </row>
    <row r="78" spans="4:28" ht="15">
      <c r="D78" s="438"/>
      <c r="E78" s="261"/>
      <c r="F78" s="261"/>
      <c r="G78" s="262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2"/>
      <c r="S78" s="261"/>
      <c r="T78" s="261"/>
      <c r="U78" s="261"/>
      <c r="V78" s="261"/>
      <c r="W78" s="261"/>
      <c r="X78" s="261"/>
      <c r="Y78" s="261"/>
      <c r="Z78" s="261"/>
      <c r="AA78" s="261"/>
      <c r="AB78" s="263"/>
    </row>
    <row r="79" spans="4:28" ht="15">
      <c r="D79" s="438"/>
      <c r="E79" s="261"/>
      <c r="F79" s="261"/>
      <c r="G79" s="262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2"/>
      <c r="S79" s="261"/>
      <c r="T79" s="261"/>
      <c r="U79" s="261"/>
      <c r="V79" s="261"/>
      <c r="W79" s="261"/>
      <c r="X79" s="261"/>
      <c r="Y79" s="261"/>
      <c r="Z79" s="261"/>
      <c r="AA79" s="261"/>
      <c r="AB79" s="263"/>
    </row>
    <row r="80" spans="4:28" ht="15">
      <c r="D80" s="438"/>
      <c r="E80" s="261"/>
      <c r="F80" s="261"/>
      <c r="G80" s="262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2"/>
      <c r="S80" s="261"/>
      <c r="T80" s="261"/>
      <c r="U80" s="261"/>
      <c r="V80" s="261"/>
      <c r="W80" s="261"/>
      <c r="X80" s="261"/>
      <c r="Y80" s="261"/>
      <c r="Z80" s="261"/>
      <c r="AA80" s="261"/>
      <c r="AB80" s="263"/>
    </row>
    <row r="81" spans="4:28" ht="15.75" thickBot="1">
      <c r="D81" s="438"/>
      <c r="E81" s="261"/>
      <c r="F81" s="261"/>
      <c r="G81" s="262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2"/>
      <c r="S81" s="261"/>
      <c r="T81" s="261"/>
      <c r="U81" s="261"/>
      <c r="V81" s="261"/>
      <c r="W81" s="261"/>
      <c r="X81" s="261"/>
      <c r="Y81" s="261"/>
      <c r="Z81" s="261"/>
      <c r="AA81" s="261"/>
      <c r="AB81" s="263"/>
    </row>
    <row r="82" spans="4:28" ht="15.75" thickBot="1">
      <c r="D82" s="264" t="s">
        <v>203</v>
      </c>
      <c r="E82" s="265">
        <f>SUM(E76:E81)</f>
        <v>0</v>
      </c>
      <c r="F82" s="266">
        <f>SUM(F76:F81)</f>
        <v>0</v>
      </c>
      <c r="G82" s="267">
        <f>SUM(G76:G81)</f>
        <v>0</v>
      </c>
      <c r="H82" s="266">
        <f aca="true" t="shared" si="4" ref="H82:P82">SUM(H76:H81)</f>
        <v>0</v>
      </c>
      <c r="I82" s="266">
        <f t="shared" si="4"/>
        <v>0</v>
      </c>
      <c r="J82" s="266">
        <f t="shared" si="4"/>
        <v>0</v>
      </c>
      <c r="K82" s="266">
        <f t="shared" si="4"/>
        <v>0</v>
      </c>
      <c r="L82" s="266">
        <f t="shared" si="4"/>
        <v>0</v>
      </c>
      <c r="M82" s="266">
        <f t="shared" si="4"/>
        <v>0</v>
      </c>
      <c r="N82" s="266">
        <f t="shared" si="4"/>
        <v>0</v>
      </c>
      <c r="O82" s="266">
        <f t="shared" si="4"/>
        <v>0</v>
      </c>
      <c r="P82" s="266">
        <f t="shared" si="4"/>
        <v>0</v>
      </c>
      <c r="Q82" s="266">
        <f>SUM(Q76:Q81)</f>
        <v>0</v>
      </c>
      <c r="R82" s="267">
        <f>SUM(R76:R81)</f>
        <v>0</v>
      </c>
      <c r="S82" s="266">
        <f>SUM(S76:S81)</f>
        <v>0</v>
      </c>
      <c r="T82" s="266">
        <f aca="true" t="shared" si="5" ref="T82:AB82">SUM(T76:T81)</f>
        <v>0</v>
      </c>
      <c r="U82" s="266">
        <f t="shared" si="5"/>
        <v>0</v>
      </c>
      <c r="V82" s="266">
        <f t="shared" si="5"/>
        <v>0</v>
      </c>
      <c r="W82" s="266">
        <f t="shared" si="5"/>
        <v>0</v>
      </c>
      <c r="X82" s="266">
        <f t="shared" si="5"/>
        <v>0</v>
      </c>
      <c r="Y82" s="266">
        <f t="shared" si="5"/>
        <v>0</v>
      </c>
      <c r="Z82" s="266">
        <f t="shared" si="5"/>
        <v>0</v>
      </c>
      <c r="AA82" s="266">
        <f t="shared" si="5"/>
        <v>0</v>
      </c>
      <c r="AB82" s="268">
        <f t="shared" si="5"/>
        <v>0</v>
      </c>
    </row>
    <row r="84" ht="15">
      <c r="D84" s="439" t="s">
        <v>507</v>
      </c>
    </row>
    <row r="85" ht="15">
      <c r="D85" s="440" t="s">
        <v>669</v>
      </c>
    </row>
    <row r="86" ht="15">
      <c r="D86" s="440" t="s">
        <v>670</v>
      </c>
    </row>
    <row r="87" ht="15">
      <c r="D87" s="440" t="s">
        <v>508</v>
      </c>
    </row>
    <row r="88" ht="15">
      <c r="D88" s="440" t="s">
        <v>671</v>
      </c>
    </row>
  </sheetData>
  <sheetProtection/>
  <mergeCells count="11">
    <mergeCell ref="D2:AB2"/>
    <mergeCell ref="D4:D5"/>
    <mergeCell ref="E4:E5"/>
    <mergeCell ref="F4:F5"/>
    <mergeCell ref="G4:Q4"/>
    <mergeCell ref="R4:AB4"/>
    <mergeCell ref="D75:AB75"/>
    <mergeCell ref="C4:C5"/>
    <mergeCell ref="A4:A5"/>
    <mergeCell ref="B4:B5"/>
    <mergeCell ref="D6:AB6"/>
  </mergeCells>
  <printOptions/>
  <pageMargins left="0.5511811023622047" right="0.15748031496062992" top="0.7480314960629921" bottom="0.3937007874015748" header="0.3937007874015748" footer="0.15748031496062992"/>
  <pageSetup fitToHeight="0" fitToWidth="1" horizontalDpi="600" verticalDpi="600" orientation="landscape" paperSize="8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6.28125" style="3" customWidth="1"/>
    <col min="2" max="5" width="17.8515625" style="3" customWidth="1"/>
    <col min="6" max="6" width="18.00390625" style="3" customWidth="1"/>
    <col min="7" max="16384" width="9.140625" style="3" customWidth="1"/>
  </cols>
  <sheetData>
    <row r="1" ht="16.5" thickBot="1">
      <c r="A1" s="209" t="s">
        <v>343</v>
      </c>
    </row>
    <row r="2" spans="1:6" ht="21" thickBot="1">
      <c r="A2" s="770" t="s">
        <v>345</v>
      </c>
      <c r="B2" s="771"/>
      <c r="C2" s="771"/>
      <c r="D2" s="771"/>
      <c r="E2" s="771"/>
      <c r="F2" s="772"/>
    </row>
    <row r="4" ht="15.75" thickBot="1">
      <c r="A4" s="125" t="s">
        <v>260</v>
      </c>
    </row>
    <row r="5" spans="1:6" ht="29.25" thickBot="1">
      <c r="A5" s="269" t="s">
        <v>346</v>
      </c>
      <c r="B5" s="270" t="str">
        <f>+CONCATENATE("skutečnost ",titul!$E$10-2)</f>
        <v>skutečnost 2016</v>
      </c>
      <c r="C5" s="271" t="str">
        <f>+CONCATENATE("skutečnost ",titul!$E$10-1)</f>
        <v>skutečnost 2017</v>
      </c>
      <c r="D5" s="58" t="str">
        <f>+CONCATENATE("skutečnost ",titul!$E$10)</f>
        <v>skutečnost 2018</v>
      </c>
      <c r="E5" s="272" t="str">
        <f>+CONCATENATE("odchylka ",titul!$E$10,"-",titul!$E$10-2)</f>
        <v>odchylka 2018-2016</v>
      </c>
      <c r="F5" s="273" t="s">
        <v>528</v>
      </c>
    </row>
    <row r="6" spans="1:6" ht="30">
      <c r="A6" s="420" t="s">
        <v>418</v>
      </c>
      <c r="B6" s="744">
        <v>7674272</v>
      </c>
      <c r="C6" s="745">
        <v>7514509</v>
      </c>
      <c r="D6" s="745">
        <v>9072471</v>
      </c>
      <c r="E6" s="274">
        <f>+D6-B6</f>
        <v>1398199</v>
      </c>
      <c r="F6" s="275">
        <f>+D6-C6</f>
        <v>1557962</v>
      </c>
    </row>
    <row r="7" spans="1:6" ht="30">
      <c r="A7" s="421" t="s">
        <v>434</v>
      </c>
      <c r="B7" s="746"/>
      <c r="C7" s="747"/>
      <c r="D7" s="747"/>
      <c r="E7" s="274">
        <f aca="true" t="shared" si="0" ref="E7:E26">+D7-B7</f>
        <v>0</v>
      </c>
      <c r="F7" s="275">
        <f aca="true" t="shared" si="1" ref="F7:F26">+D7-C7</f>
        <v>0</v>
      </c>
    </row>
    <row r="8" spans="1:6" ht="30">
      <c r="A8" s="418" t="s">
        <v>419</v>
      </c>
      <c r="B8" s="746">
        <v>30606013</v>
      </c>
      <c r="C8" s="747">
        <v>31776546</v>
      </c>
      <c r="D8" s="747">
        <v>30140629</v>
      </c>
      <c r="E8" s="274">
        <f t="shared" si="0"/>
        <v>-465384</v>
      </c>
      <c r="F8" s="275">
        <f t="shared" si="1"/>
        <v>-1635917</v>
      </c>
    </row>
    <row r="9" spans="1:6" ht="90">
      <c r="A9" s="421" t="s">
        <v>420</v>
      </c>
      <c r="B9" s="746"/>
      <c r="C9" s="747"/>
      <c r="D9" s="747"/>
      <c r="E9" s="274">
        <f t="shared" si="0"/>
        <v>0</v>
      </c>
      <c r="F9" s="275">
        <f t="shared" si="1"/>
        <v>0</v>
      </c>
    </row>
    <row r="10" spans="1:6" ht="30">
      <c r="A10" s="418" t="s">
        <v>421</v>
      </c>
      <c r="B10" s="746">
        <v>192403197</v>
      </c>
      <c r="C10" s="747">
        <v>167883164</v>
      </c>
      <c r="D10" s="747">
        <v>172925972</v>
      </c>
      <c r="E10" s="274">
        <f t="shared" si="0"/>
        <v>-19477225</v>
      </c>
      <c r="F10" s="275">
        <f t="shared" si="1"/>
        <v>5042808</v>
      </c>
    </row>
    <row r="11" spans="1:6" ht="15">
      <c r="A11" s="422" t="s">
        <v>422</v>
      </c>
      <c r="B11" s="746"/>
      <c r="C11" s="747"/>
      <c r="D11" s="747"/>
      <c r="E11" s="274">
        <f t="shared" si="0"/>
        <v>0</v>
      </c>
      <c r="F11" s="275">
        <f t="shared" si="1"/>
        <v>0</v>
      </c>
    </row>
    <row r="12" spans="1:6" ht="30">
      <c r="A12" s="422" t="s">
        <v>423</v>
      </c>
      <c r="B12" s="746"/>
      <c r="C12" s="747"/>
      <c r="D12" s="747"/>
      <c r="E12" s="274">
        <f t="shared" si="0"/>
        <v>0</v>
      </c>
      <c r="F12" s="275">
        <f t="shared" si="1"/>
        <v>0</v>
      </c>
    </row>
    <row r="13" spans="1:6" ht="30">
      <c r="A13" s="422" t="s">
        <v>424</v>
      </c>
      <c r="B13" s="746"/>
      <c r="C13" s="747"/>
      <c r="D13" s="747"/>
      <c r="E13" s="274">
        <f t="shared" si="0"/>
        <v>0</v>
      </c>
      <c r="F13" s="275">
        <f t="shared" si="1"/>
        <v>0</v>
      </c>
    </row>
    <row r="14" spans="1:6" ht="60">
      <c r="A14" s="418" t="s">
        <v>425</v>
      </c>
      <c r="B14" s="746">
        <v>24071128</v>
      </c>
      <c r="C14" s="747">
        <v>17737237</v>
      </c>
      <c r="D14" s="747">
        <v>16989591</v>
      </c>
      <c r="E14" s="274">
        <f t="shared" si="0"/>
        <v>-7081537</v>
      </c>
      <c r="F14" s="275">
        <f t="shared" si="1"/>
        <v>-747646</v>
      </c>
    </row>
    <row r="15" spans="1:6" ht="30">
      <c r="A15" s="418" t="s">
        <v>426</v>
      </c>
      <c r="B15" s="746">
        <v>11477162</v>
      </c>
      <c r="C15" s="747">
        <v>11648566</v>
      </c>
      <c r="D15" s="747">
        <v>13511974</v>
      </c>
      <c r="E15" s="274">
        <f t="shared" si="0"/>
        <v>2034812</v>
      </c>
      <c r="F15" s="275">
        <f t="shared" si="1"/>
        <v>1863408</v>
      </c>
    </row>
    <row r="16" spans="1:6" ht="15">
      <c r="A16" s="418" t="s">
        <v>427</v>
      </c>
      <c r="B16" s="746">
        <v>23750386</v>
      </c>
      <c r="C16" s="747">
        <v>15307831</v>
      </c>
      <c r="D16" s="747">
        <v>15828270</v>
      </c>
      <c r="E16" s="274">
        <f t="shared" si="0"/>
        <v>-7922116</v>
      </c>
      <c r="F16" s="275">
        <f t="shared" si="1"/>
        <v>520439</v>
      </c>
    </row>
    <row r="17" spans="1:6" ht="60">
      <c r="A17" s="418" t="s">
        <v>428</v>
      </c>
      <c r="B17" s="746">
        <v>14595464</v>
      </c>
      <c r="C17" s="747">
        <v>11923515</v>
      </c>
      <c r="D17" s="747">
        <v>12211857</v>
      </c>
      <c r="E17" s="274">
        <f t="shared" si="0"/>
        <v>-2383607</v>
      </c>
      <c r="F17" s="275">
        <f t="shared" si="1"/>
        <v>288342</v>
      </c>
    </row>
    <row r="18" spans="1:6" ht="30">
      <c r="A18" s="418" t="s">
        <v>429</v>
      </c>
      <c r="B18" s="746">
        <v>40472</v>
      </c>
      <c r="C18" s="747">
        <v>34092</v>
      </c>
      <c r="D18" s="747">
        <v>45707</v>
      </c>
      <c r="E18" s="274">
        <f t="shared" si="0"/>
        <v>5235</v>
      </c>
      <c r="F18" s="275">
        <f t="shared" si="1"/>
        <v>11615</v>
      </c>
    </row>
    <row r="19" spans="1:6" ht="60">
      <c r="A19" s="418" t="s">
        <v>430</v>
      </c>
      <c r="B19" s="746">
        <v>4319055</v>
      </c>
      <c r="C19" s="747">
        <v>3475238</v>
      </c>
      <c r="D19" s="747">
        <v>3446244</v>
      </c>
      <c r="E19" s="274">
        <f t="shared" si="0"/>
        <v>-872811</v>
      </c>
      <c r="F19" s="275">
        <f t="shared" si="1"/>
        <v>-28994</v>
      </c>
    </row>
    <row r="20" spans="1:6" ht="15">
      <c r="A20" s="418" t="s">
        <v>672</v>
      </c>
      <c r="B20" s="746">
        <v>71279932</v>
      </c>
      <c r="C20" s="747">
        <v>74845425</v>
      </c>
      <c r="D20" s="747">
        <v>70705029</v>
      </c>
      <c r="E20" s="274">
        <f>+D20-B20</f>
        <v>-574903</v>
      </c>
      <c r="F20" s="275">
        <f>+D20-C20</f>
        <v>-4140396</v>
      </c>
    </row>
    <row r="21" spans="1:6" ht="15">
      <c r="A21" s="418"/>
      <c r="B21" s="276"/>
      <c r="C21" s="277"/>
      <c r="D21" s="278"/>
      <c r="E21" s="274">
        <f t="shared" si="0"/>
        <v>0</v>
      </c>
      <c r="F21" s="275">
        <f t="shared" si="1"/>
        <v>0</v>
      </c>
    </row>
    <row r="22" spans="1:6" ht="15">
      <c r="A22" s="418" t="s">
        <v>431</v>
      </c>
      <c r="B22" s="277">
        <v>569987</v>
      </c>
      <c r="C22" s="278">
        <v>442985</v>
      </c>
      <c r="D22" s="278">
        <v>516226</v>
      </c>
      <c r="E22" s="274">
        <f>+D22-B22</f>
        <v>-53761</v>
      </c>
      <c r="F22" s="275">
        <f>+D22-C22</f>
        <v>73241</v>
      </c>
    </row>
    <row r="23" spans="1:6" ht="15">
      <c r="A23" s="418"/>
      <c r="B23" s="276"/>
      <c r="C23" s="277"/>
      <c r="D23" s="278"/>
      <c r="E23" s="274">
        <f t="shared" si="0"/>
        <v>0</v>
      </c>
      <c r="F23" s="275">
        <f t="shared" si="1"/>
        <v>0</v>
      </c>
    </row>
    <row r="24" spans="1:6" ht="15">
      <c r="A24" s="418"/>
      <c r="B24" s="276"/>
      <c r="C24" s="277"/>
      <c r="D24" s="278"/>
      <c r="E24" s="274">
        <f t="shared" si="0"/>
        <v>0</v>
      </c>
      <c r="F24" s="275">
        <f t="shared" si="1"/>
        <v>0</v>
      </c>
    </row>
    <row r="25" spans="1:6" ht="15">
      <c r="A25" s="418"/>
      <c r="B25" s="276"/>
      <c r="C25" s="277"/>
      <c r="D25" s="278"/>
      <c r="E25" s="274">
        <f t="shared" si="0"/>
        <v>0</v>
      </c>
      <c r="F25" s="275">
        <f t="shared" si="1"/>
        <v>0</v>
      </c>
    </row>
    <row r="26" spans="1:6" ht="15.75" thickBot="1">
      <c r="A26" s="419"/>
      <c r="B26" s="279"/>
      <c r="C26" s="280"/>
      <c r="D26" s="281"/>
      <c r="E26" s="282">
        <f t="shared" si="0"/>
        <v>0</v>
      </c>
      <c r="F26" s="283">
        <f t="shared" si="1"/>
        <v>0</v>
      </c>
    </row>
    <row r="27" ht="15">
      <c r="A27" s="3" t="s">
        <v>167</v>
      </c>
    </row>
    <row r="28" ht="15">
      <c r="A28" s="3" t="s">
        <v>433</v>
      </c>
    </row>
    <row r="29" ht="15">
      <c r="A29" s="3" t="s">
        <v>432</v>
      </c>
    </row>
    <row r="30" ht="15">
      <c r="A30" s="3" t="s">
        <v>435</v>
      </c>
    </row>
  </sheetData>
  <sheetProtection/>
  <mergeCells count="1">
    <mergeCell ref="A2:F2"/>
  </mergeCells>
  <printOptions/>
  <pageMargins left="0.7086614173228347" right="0.7086614173228347" top="0.7874015748031497" bottom="0.7874015748031497" header="0.31496062992125984" footer="0.31496062992125984"/>
  <pageSetup fitToHeight="0" horizontalDpi="1800" verticalDpi="18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28">
      <selection activeCell="B24" sqref="B24"/>
    </sheetView>
  </sheetViews>
  <sheetFormatPr defaultColWidth="9.140625" defaultRowHeight="15"/>
  <cols>
    <col min="1" max="1" width="10.57421875" style="10" customWidth="1"/>
    <col min="2" max="2" width="93.7109375" style="88" customWidth="1"/>
    <col min="3" max="16384" width="9.140625" style="10" customWidth="1"/>
  </cols>
  <sheetData>
    <row r="1" ht="18.75">
      <c r="A1" s="101" t="s">
        <v>246</v>
      </c>
    </row>
    <row r="2" ht="20.25">
      <c r="A2" s="293" t="s">
        <v>356</v>
      </c>
    </row>
    <row r="3" ht="20.25">
      <c r="B3" s="294" t="s">
        <v>360</v>
      </c>
    </row>
    <row r="4" ht="15">
      <c r="B4" s="295" t="s">
        <v>357</v>
      </c>
    </row>
    <row r="5" ht="15">
      <c r="B5" s="295" t="s">
        <v>358</v>
      </c>
    </row>
    <row r="6" ht="15">
      <c r="B6" s="296" t="s">
        <v>361</v>
      </c>
    </row>
    <row r="7" ht="15">
      <c r="B7" s="296" t="s">
        <v>359</v>
      </c>
    </row>
    <row r="9" ht="15">
      <c r="A9" s="89" t="s">
        <v>291</v>
      </c>
    </row>
    <row r="10" spans="1:2" ht="31.5" customHeight="1">
      <c r="A10" s="906" t="s">
        <v>245</v>
      </c>
      <c r="B10" s="906"/>
    </row>
    <row r="11" ht="15">
      <c r="A11" s="89" t="s">
        <v>292</v>
      </c>
    </row>
    <row r="12" ht="15">
      <c r="A12" s="89"/>
    </row>
    <row r="14" spans="1:2" ht="15">
      <c r="A14" s="98" t="s">
        <v>209</v>
      </c>
      <c r="B14" s="90"/>
    </row>
    <row r="15" spans="1:2" ht="15">
      <c r="A15" s="95" t="s">
        <v>210</v>
      </c>
      <c r="B15" s="88" t="s">
        <v>208</v>
      </c>
    </row>
    <row r="16" spans="1:2" ht="15">
      <c r="A16" s="96"/>
      <c r="B16" s="97" t="s">
        <v>205</v>
      </c>
    </row>
    <row r="17" spans="1:2" ht="15">
      <c r="A17" s="96"/>
      <c r="B17" s="97" t="s">
        <v>206</v>
      </c>
    </row>
    <row r="18" spans="1:2" ht="15">
      <c r="A18" s="96"/>
      <c r="B18" s="92" t="s">
        <v>207</v>
      </c>
    </row>
    <row r="19" ht="15">
      <c r="A19" s="96"/>
    </row>
    <row r="20" ht="15">
      <c r="A20" s="95" t="s">
        <v>215</v>
      </c>
    </row>
    <row r="21" ht="15">
      <c r="B21" s="88" t="s">
        <v>216</v>
      </c>
    </row>
    <row r="23" ht="15">
      <c r="A23" s="95" t="s">
        <v>213</v>
      </c>
    </row>
    <row r="24" ht="15">
      <c r="B24" s="88" t="s">
        <v>214</v>
      </c>
    </row>
    <row r="25" ht="45">
      <c r="B25" s="88" t="s">
        <v>313</v>
      </c>
    </row>
    <row r="26" ht="30">
      <c r="B26" s="88" t="s">
        <v>243</v>
      </c>
    </row>
    <row r="27" ht="15">
      <c r="B27" s="88" t="s">
        <v>217</v>
      </c>
    </row>
    <row r="29" ht="15">
      <c r="A29" s="95" t="s">
        <v>289</v>
      </c>
    </row>
    <row r="30" spans="1:2" ht="15">
      <c r="A30" s="95"/>
      <c r="B30" s="88" t="s">
        <v>290</v>
      </c>
    </row>
    <row r="31" ht="15">
      <c r="A31" s="95"/>
    </row>
    <row r="32" ht="15">
      <c r="A32" s="95" t="s">
        <v>218</v>
      </c>
    </row>
    <row r="33" ht="30">
      <c r="B33" s="88" t="s">
        <v>283</v>
      </c>
    </row>
    <row r="35" spans="1:10" ht="15">
      <c r="A35" s="95" t="s">
        <v>220</v>
      </c>
      <c r="B35" s="10"/>
      <c r="D35" s="93"/>
      <c r="E35" s="93"/>
      <c r="F35" s="93"/>
      <c r="G35" s="93"/>
      <c r="H35" s="94"/>
      <c r="I35" s="94"/>
      <c r="J35" s="93"/>
    </row>
    <row r="36" ht="30">
      <c r="B36" s="91" t="s">
        <v>211</v>
      </c>
    </row>
    <row r="37" ht="30">
      <c r="B37" s="91" t="s">
        <v>212</v>
      </c>
    </row>
    <row r="38" spans="2:10" ht="30">
      <c r="B38" s="88" t="s">
        <v>285</v>
      </c>
      <c r="D38" s="93"/>
      <c r="E38" s="93"/>
      <c r="F38" s="93"/>
      <c r="G38" s="93"/>
      <c r="H38" s="94"/>
      <c r="I38" s="94"/>
      <c r="J38" s="93"/>
    </row>
    <row r="40" ht="15">
      <c r="A40" s="95" t="s">
        <v>284</v>
      </c>
    </row>
    <row r="41" spans="2:10" ht="15">
      <c r="B41" s="10" t="s">
        <v>219</v>
      </c>
      <c r="D41" s="93"/>
      <c r="E41" s="93"/>
      <c r="F41" s="93"/>
      <c r="G41" s="93"/>
      <c r="H41" s="94"/>
      <c r="I41" s="94"/>
      <c r="J41" s="93"/>
    </row>
    <row r="44" ht="15">
      <c r="A44" s="95" t="s">
        <v>352</v>
      </c>
    </row>
    <row r="45" ht="15">
      <c r="B45" s="88" t="s">
        <v>353</v>
      </c>
    </row>
    <row r="47" ht="15">
      <c r="A47" s="95" t="s">
        <v>354</v>
      </c>
    </row>
    <row r="48" ht="15">
      <c r="B48" s="88" t="s">
        <v>353</v>
      </c>
    </row>
    <row r="49" ht="15">
      <c r="B49" s="88" t="s">
        <v>355</v>
      </c>
    </row>
  </sheetData>
  <sheetProtection/>
  <mergeCells count="1">
    <mergeCell ref="A10:B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1800" verticalDpi="18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Y103"/>
  <sheetViews>
    <sheetView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4.140625" style="3" customWidth="1"/>
    <col min="2" max="2" width="44.7109375" style="87" customWidth="1"/>
    <col min="3" max="3" width="5.140625" style="3" customWidth="1"/>
    <col min="4" max="9" width="16.28125" style="3" customWidth="1"/>
    <col min="10" max="10" width="19.7109375" style="3" customWidth="1"/>
    <col min="11" max="12" width="16.28125" style="3" customWidth="1"/>
    <col min="13" max="13" width="19.7109375" style="3" customWidth="1"/>
    <col min="14" max="15" width="19.140625" style="3" customWidth="1"/>
    <col min="16" max="19" width="19.7109375" style="3" customWidth="1"/>
    <col min="20" max="21" width="16.28125" style="3" customWidth="1"/>
    <col min="22" max="22" width="16.8515625" style="3" customWidth="1"/>
    <col min="23" max="24" width="19.57421875" style="3" customWidth="1"/>
    <col min="25" max="25" width="17.00390625" style="3" customWidth="1"/>
    <col min="26" max="16384" width="9.140625" style="10" customWidth="1"/>
  </cols>
  <sheetData>
    <row r="1" spans="1:25" ht="20.25" customHeight="1" thickBot="1">
      <c r="A1" s="770" t="s">
        <v>293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2"/>
    </row>
    <row r="2" spans="1:21" ht="21" customHeight="1">
      <c r="A2" s="30"/>
      <c r="B2" s="7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1" customHeight="1" thickBot="1">
      <c r="A3" s="30"/>
      <c r="B3" s="75" t="s">
        <v>260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5" ht="15.75" thickBot="1">
      <c r="A4" s="773" t="s">
        <v>175</v>
      </c>
      <c r="B4" s="762" t="s">
        <v>0</v>
      </c>
      <c r="C4" s="778"/>
      <c r="D4" s="785" t="s">
        <v>527</v>
      </c>
      <c r="E4" s="786"/>
      <c r="F4" s="786"/>
      <c r="G4" s="786"/>
      <c r="H4" s="786"/>
      <c r="I4" s="786"/>
      <c r="J4" s="786"/>
      <c r="K4" s="786"/>
      <c r="L4" s="786"/>
      <c r="M4" s="787"/>
      <c r="N4" s="788" t="str">
        <f>CONCATENATE(+titul!$E$11,titul!$F$11)</f>
        <v>leden - prosinec</v>
      </c>
      <c r="O4" s="789"/>
      <c r="P4" s="789"/>
      <c r="Q4" s="451"/>
      <c r="R4" s="451"/>
      <c r="S4" s="451"/>
      <c r="T4" s="451"/>
      <c r="U4" s="451"/>
      <c r="V4" s="451"/>
      <c r="W4" s="451"/>
      <c r="X4" s="451"/>
      <c r="Y4" s="452"/>
    </row>
    <row r="5" spans="1:25" s="99" customFormat="1" ht="15.75" customHeight="1">
      <c r="A5" s="774"/>
      <c r="B5" s="776"/>
      <c r="C5" s="779"/>
      <c r="D5" s="481" t="s">
        <v>526</v>
      </c>
      <c r="E5" s="781" t="str">
        <f>+CONCATENATE("skutečnost ",'[3]titul'!$E$10-2)</f>
        <v>skutečnost 2015</v>
      </c>
      <c r="F5" s="782"/>
      <c r="G5" s="783"/>
      <c r="H5" s="781" t="str">
        <f>+CONCATENATE("skutečnost ",titul!$E$10-2)</f>
        <v>skutečnost 2016</v>
      </c>
      <c r="I5" s="782"/>
      <c r="J5" s="783"/>
      <c r="K5" s="781" t="str">
        <f>+CONCATENATE("skutečnost ",titul!$E$10-1)</f>
        <v>skutečnost 2017</v>
      </c>
      <c r="L5" s="784"/>
      <c r="M5" s="783"/>
      <c r="N5" s="761" t="str">
        <f>+CONCATENATE("skutečnost ",titul!$E$10)</f>
        <v>skutečnost 2018</v>
      </c>
      <c r="O5" s="762"/>
      <c r="P5" s="763"/>
      <c r="Q5" s="764" t="str">
        <f>+CONCATENATE("odchylka ",titul!$E$10,"-",titul!$E$10-1)</f>
        <v>odchylka 2018-2017</v>
      </c>
      <c r="R5" s="765"/>
      <c r="S5" s="766"/>
      <c r="T5" s="764" t="str">
        <f>+CONCATENATE("odchylka ",titul!$E$10,"-",titul!$E$10-2)</f>
        <v>odchylka 2018-2016</v>
      </c>
      <c r="U5" s="765"/>
      <c r="V5" s="766"/>
      <c r="W5" s="767" t="s">
        <v>262</v>
      </c>
      <c r="X5" s="768"/>
      <c r="Y5" s="769"/>
    </row>
    <row r="6" spans="1:25" s="99" customFormat="1" ht="45.75" thickBot="1">
      <c r="A6" s="775"/>
      <c r="B6" s="777"/>
      <c r="C6" s="780"/>
      <c r="D6" s="482" t="s">
        <v>169</v>
      </c>
      <c r="E6" s="483" t="s">
        <v>169</v>
      </c>
      <c r="F6" s="484" t="s">
        <v>261</v>
      </c>
      <c r="G6" s="485" t="s">
        <v>170</v>
      </c>
      <c r="H6" s="486" t="s">
        <v>169</v>
      </c>
      <c r="I6" s="487" t="s">
        <v>261</v>
      </c>
      <c r="J6" s="488" t="s">
        <v>170</v>
      </c>
      <c r="K6" s="486" t="s">
        <v>169</v>
      </c>
      <c r="L6" s="487" t="s">
        <v>261</v>
      </c>
      <c r="M6" s="488" t="s">
        <v>170</v>
      </c>
      <c r="N6" s="107" t="s">
        <v>169</v>
      </c>
      <c r="O6" s="160" t="s">
        <v>261</v>
      </c>
      <c r="P6" s="79" t="s">
        <v>170</v>
      </c>
      <c r="Q6" s="454" t="s">
        <v>169</v>
      </c>
      <c r="R6" s="160" t="s">
        <v>261</v>
      </c>
      <c r="S6" s="79" t="s">
        <v>170</v>
      </c>
      <c r="T6" s="107" t="s">
        <v>169</v>
      </c>
      <c r="U6" s="160" t="s">
        <v>261</v>
      </c>
      <c r="V6" s="79" t="s">
        <v>170</v>
      </c>
      <c r="W6" s="160" t="s">
        <v>169</v>
      </c>
      <c r="X6" s="160" t="s">
        <v>261</v>
      </c>
      <c r="Y6" s="79" t="s">
        <v>170</v>
      </c>
    </row>
    <row r="7" spans="1:25" s="100" customFormat="1" ht="19.5" thickBot="1">
      <c r="A7" s="108">
        <v>1</v>
      </c>
      <c r="B7" s="109" t="s">
        <v>180</v>
      </c>
      <c r="C7" s="465" t="s">
        <v>40</v>
      </c>
      <c r="D7" s="489">
        <f>D8+D44+D50+D53</f>
        <v>343637512.63</v>
      </c>
      <c r="E7" s="489">
        <f>E8+E44+E50+E53</f>
        <v>360652642</v>
      </c>
      <c r="F7" s="489">
        <f>F8+F44+F50+F53</f>
        <v>53501677</v>
      </c>
      <c r="G7" s="490">
        <f>G8+G44+G50+G53</f>
        <v>307150637</v>
      </c>
      <c r="H7" s="489">
        <f aca="true" t="shared" si="0" ref="H7:P7">H8+H44+H50+H53</f>
        <v>380217081.28000003</v>
      </c>
      <c r="I7" s="489">
        <f t="shared" si="0"/>
        <v>31550168.310000002</v>
      </c>
      <c r="J7" s="490">
        <f t="shared" si="0"/>
        <v>348666898.97</v>
      </c>
      <c r="K7" s="489">
        <f t="shared" si="0"/>
        <v>342146123</v>
      </c>
      <c r="L7" s="489">
        <f>L8+L44+L50+L53</f>
        <v>35722290</v>
      </c>
      <c r="M7" s="489">
        <f t="shared" si="0"/>
        <v>306423833</v>
      </c>
      <c r="N7" s="120">
        <f>N8+N44+N50+N53</f>
        <v>344877744</v>
      </c>
      <c r="O7" s="120">
        <f t="shared" si="0"/>
        <v>43493078.4</v>
      </c>
      <c r="P7" s="122">
        <f t="shared" si="0"/>
        <v>301384665.6</v>
      </c>
      <c r="Q7" s="120">
        <f aca="true" t="shared" si="1" ref="Q7:S8">+N7-K7</f>
        <v>2731621</v>
      </c>
      <c r="R7" s="165">
        <f t="shared" si="1"/>
        <v>7770788.3999999985</v>
      </c>
      <c r="S7" s="179">
        <f t="shared" si="1"/>
        <v>-5039167.399999976</v>
      </c>
      <c r="T7" s="120">
        <f aca="true" t="shared" si="2" ref="T7:V8">+N7-H7</f>
        <v>-35339337.28000003</v>
      </c>
      <c r="U7" s="165">
        <f t="shared" si="2"/>
        <v>11942910.089999996</v>
      </c>
      <c r="V7" s="179">
        <f t="shared" si="2"/>
        <v>-47282233.370000005</v>
      </c>
      <c r="W7" s="165">
        <f aca="true" t="shared" si="3" ref="W7:Y8">+K7-H7</f>
        <v>-38070958.28000003</v>
      </c>
      <c r="X7" s="165">
        <f t="shared" si="3"/>
        <v>4172121.6899999976</v>
      </c>
      <c r="Y7" s="179">
        <f t="shared" si="3"/>
        <v>-42243065.97000003</v>
      </c>
    </row>
    <row r="8" spans="1:25" s="100" customFormat="1" ht="15.75">
      <c r="A8" s="102">
        <v>2</v>
      </c>
      <c r="B8" s="151" t="s">
        <v>249</v>
      </c>
      <c r="C8" s="466"/>
      <c r="D8" s="474">
        <f>SUM(D9:D43)</f>
        <v>331806861.28</v>
      </c>
      <c r="E8" s="474">
        <f>SUM(E9:E43)</f>
        <v>350329718</v>
      </c>
      <c r="F8" s="474">
        <f>SUM(F9:F43)</f>
        <v>53501677</v>
      </c>
      <c r="G8" s="475">
        <f>SUM(G9:G43)</f>
        <v>296828041</v>
      </c>
      <c r="H8" s="72">
        <f aca="true" t="shared" si="4" ref="H8:O8">SUM(H9:H43)</f>
        <v>373045136.27000004</v>
      </c>
      <c r="I8" s="72">
        <f t="shared" si="4"/>
        <v>31550168.310000002</v>
      </c>
      <c r="J8" s="73">
        <f t="shared" si="4"/>
        <v>341494967.96000004</v>
      </c>
      <c r="K8" s="602">
        <f t="shared" si="4"/>
        <v>334183041</v>
      </c>
      <c r="L8" s="604">
        <f>SUM(L9:L43)</f>
        <v>35722290</v>
      </c>
      <c r="M8" s="603">
        <f t="shared" si="4"/>
        <v>298460751</v>
      </c>
      <c r="N8" s="72">
        <f t="shared" si="4"/>
        <v>340852172</v>
      </c>
      <c r="O8" s="72">
        <f t="shared" si="4"/>
        <v>43493078.4</v>
      </c>
      <c r="P8" s="73">
        <f>SUM(P9:P43)</f>
        <v>297359093.6</v>
      </c>
      <c r="Q8" s="72">
        <f t="shared" si="1"/>
        <v>6669131</v>
      </c>
      <c r="R8" s="161">
        <f t="shared" si="1"/>
        <v>7770788.3999999985</v>
      </c>
      <c r="S8" s="175">
        <f t="shared" si="1"/>
        <v>-1101657.3999999762</v>
      </c>
      <c r="T8" s="72">
        <f t="shared" si="2"/>
        <v>-32192964.27000004</v>
      </c>
      <c r="U8" s="161">
        <f t="shared" si="2"/>
        <v>11942910.089999996</v>
      </c>
      <c r="V8" s="175">
        <f t="shared" si="2"/>
        <v>-44135874.360000014</v>
      </c>
      <c r="W8" s="161">
        <f t="shared" si="3"/>
        <v>-38862095.27000004</v>
      </c>
      <c r="X8" s="161">
        <f t="shared" si="3"/>
        <v>4172121.6899999976</v>
      </c>
      <c r="Y8" s="175">
        <f t="shared" si="3"/>
        <v>-43034216.96000004</v>
      </c>
    </row>
    <row r="9" spans="1:25" ht="15">
      <c r="A9" s="39">
        <v>3</v>
      </c>
      <c r="B9" s="152" t="s">
        <v>41</v>
      </c>
      <c r="C9" s="467" t="s">
        <v>42</v>
      </c>
      <c r="D9" s="461">
        <f>'[4]1.1 Plnění rozpočtu HČ'!$D$12</f>
        <v>12275050.66</v>
      </c>
      <c r="E9" s="461">
        <v>17469510</v>
      </c>
      <c r="F9" s="462">
        <v>3706329</v>
      </c>
      <c r="G9" s="476">
        <f aca="true" t="shared" si="5" ref="G9:G43">+E9-F9</f>
        <v>13763181</v>
      </c>
      <c r="H9" s="61">
        <v>15717404.48</v>
      </c>
      <c r="I9" s="37">
        <v>3129142</v>
      </c>
      <c r="J9" s="248">
        <f aca="true" t="shared" si="6" ref="J9:J43">+H9-I9</f>
        <v>12588262.48</v>
      </c>
      <c r="K9" s="61">
        <v>15821256</v>
      </c>
      <c r="L9" s="37">
        <v>4996998</v>
      </c>
      <c r="M9" s="62">
        <f>K9-L9</f>
        <v>10824258</v>
      </c>
      <c r="N9" s="61">
        <v>15863756</v>
      </c>
      <c r="O9" s="37">
        <v>4529949</v>
      </c>
      <c r="P9" s="62">
        <f>N9-O9</f>
        <v>11333807</v>
      </c>
      <c r="Q9" s="77">
        <f aca="true" t="shared" si="7" ref="Q9:Q43">+N9-K9</f>
        <v>42500</v>
      </c>
      <c r="R9" s="181">
        <f aca="true" t="shared" si="8" ref="R9:R43">+O9-L9</f>
        <v>-467049</v>
      </c>
      <c r="S9" s="491">
        <f aca="true" t="shared" si="9" ref="S9:S43">+P9-M9</f>
        <v>509549</v>
      </c>
      <c r="T9" s="61">
        <f aca="true" t="shared" si="10" ref="T9:T71">+N9-H9</f>
        <v>146351.51999999955</v>
      </c>
      <c r="U9" s="162">
        <f aca="true" t="shared" si="11" ref="U9:U22">+O9-I9</f>
        <v>1400807</v>
      </c>
      <c r="V9" s="176">
        <f aca="true" t="shared" si="12" ref="V9:V22">+P9-J9</f>
        <v>-1254455.4800000004</v>
      </c>
      <c r="W9" s="181">
        <f aca="true" t="shared" si="13" ref="W9:W43">+K9-H9</f>
        <v>103851.51999999955</v>
      </c>
      <c r="X9" s="181">
        <f aca="true" t="shared" si="14" ref="X9:X43">+L9-I9</f>
        <v>1867856</v>
      </c>
      <c r="Y9" s="491">
        <f aca="true" t="shared" si="15" ref="Y9:Y43">+M9-J9</f>
        <v>-1764004.4800000004</v>
      </c>
    </row>
    <row r="10" spans="1:25" ht="15">
      <c r="A10" s="39">
        <v>4</v>
      </c>
      <c r="B10" s="152" t="s">
        <v>43</v>
      </c>
      <c r="C10" s="467" t="s">
        <v>44</v>
      </c>
      <c r="D10" s="461">
        <f>'[4]1.1 Plnění rozpočtu HČ'!$D$13</f>
        <v>5435747.71</v>
      </c>
      <c r="E10" s="461">
        <v>5294483</v>
      </c>
      <c r="F10" s="462">
        <v>0</v>
      </c>
      <c r="G10" s="476">
        <f t="shared" si="5"/>
        <v>5294483</v>
      </c>
      <c r="H10" s="61">
        <v>6122743.42</v>
      </c>
      <c r="I10" s="37"/>
      <c r="J10" s="248">
        <f t="shared" si="6"/>
        <v>6122743.42</v>
      </c>
      <c r="K10" s="61">
        <v>5180104</v>
      </c>
      <c r="L10" s="37">
        <v>0</v>
      </c>
      <c r="M10" s="62">
        <f aca="true" t="shared" si="16" ref="M10:M55">K10-L10</f>
        <v>5180104</v>
      </c>
      <c r="N10" s="61">
        <v>4872259</v>
      </c>
      <c r="O10" s="37">
        <v>0</v>
      </c>
      <c r="P10" s="62">
        <f aca="true" t="shared" si="17" ref="P10:P73">N10-O10</f>
        <v>4872259</v>
      </c>
      <c r="Q10" s="77">
        <f t="shared" si="7"/>
        <v>-307845</v>
      </c>
      <c r="R10" s="181">
        <f t="shared" si="8"/>
        <v>0</v>
      </c>
      <c r="S10" s="491">
        <f t="shared" si="9"/>
        <v>-307845</v>
      </c>
      <c r="T10" s="61">
        <f t="shared" si="10"/>
        <v>-1250484.42</v>
      </c>
      <c r="U10" s="162">
        <f t="shared" si="11"/>
        <v>0</v>
      </c>
      <c r="V10" s="176">
        <f t="shared" si="12"/>
        <v>-1250484.42</v>
      </c>
      <c r="W10" s="181">
        <f t="shared" si="13"/>
        <v>-942639.4199999999</v>
      </c>
      <c r="X10" s="181">
        <f t="shared" si="14"/>
        <v>0</v>
      </c>
      <c r="Y10" s="491">
        <f t="shared" si="15"/>
        <v>-942639.4199999999</v>
      </c>
    </row>
    <row r="11" spans="1:25" ht="15">
      <c r="A11" s="39">
        <v>5</v>
      </c>
      <c r="B11" s="152" t="s">
        <v>45</v>
      </c>
      <c r="C11" s="467" t="s">
        <v>46</v>
      </c>
      <c r="D11" s="461">
        <f>'[4]1.1 Plnění rozpočtu HČ'!$D$14</f>
        <v>0</v>
      </c>
      <c r="E11" s="461">
        <v>0</v>
      </c>
      <c r="F11" s="462">
        <v>0</v>
      </c>
      <c r="G11" s="476">
        <f t="shared" si="5"/>
        <v>0</v>
      </c>
      <c r="H11" s="61">
        <v>0</v>
      </c>
      <c r="I11" s="37"/>
      <c r="J11" s="248">
        <f t="shared" si="6"/>
        <v>0</v>
      </c>
      <c r="K11" s="61">
        <v>0</v>
      </c>
      <c r="L11" s="37">
        <v>0</v>
      </c>
      <c r="M11" s="62">
        <f t="shared" si="16"/>
        <v>0</v>
      </c>
      <c r="N11" s="61">
        <v>0</v>
      </c>
      <c r="O11" s="37">
        <v>0</v>
      </c>
      <c r="P11" s="62">
        <f t="shared" si="17"/>
        <v>0</v>
      </c>
      <c r="Q11" s="77">
        <f t="shared" si="7"/>
        <v>0</v>
      </c>
      <c r="R11" s="181">
        <f t="shared" si="8"/>
        <v>0</v>
      </c>
      <c r="S11" s="491">
        <f t="shared" si="9"/>
        <v>0</v>
      </c>
      <c r="T11" s="61">
        <f t="shared" si="10"/>
        <v>0</v>
      </c>
      <c r="U11" s="162">
        <f t="shared" si="11"/>
        <v>0</v>
      </c>
      <c r="V11" s="176">
        <f t="shared" si="12"/>
        <v>0</v>
      </c>
      <c r="W11" s="181">
        <f t="shared" si="13"/>
        <v>0</v>
      </c>
      <c r="X11" s="181">
        <f t="shared" si="14"/>
        <v>0</v>
      </c>
      <c r="Y11" s="491">
        <f t="shared" si="15"/>
        <v>0</v>
      </c>
    </row>
    <row r="12" spans="1:25" ht="15">
      <c r="A12" s="39">
        <v>6</v>
      </c>
      <c r="B12" s="152" t="s">
        <v>47</v>
      </c>
      <c r="C12" s="467" t="s">
        <v>48</v>
      </c>
      <c r="D12" s="461">
        <f>'[4]1.1 Plnění rozpočtu HČ'!$D$15</f>
        <v>2602540.08</v>
      </c>
      <c r="E12" s="461">
        <v>2256675</v>
      </c>
      <c r="F12" s="462">
        <v>0</v>
      </c>
      <c r="G12" s="476">
        <f t="shared" si="5"/>
        <v>2256675</v>
      </c>
      <c r="H12" s="61">
        <v>2602044.96</v>
      </c>
      <c r="I12" s="37"/>
      <c r="J12" s="248">
        <f t="shared" si="6"/>
        <v>2602044.96</v>
      </c>
      <c r="K12" s="61">
        <v>2662911</v>
      </c>
      <c r="L12" s="37">
        <v>0</v>
      </c>
      <c r="M12" s="62">
        <f t="shared" si="16"/>
        <v>2662911</v>
      </c>
      <c r="N12" s="61">
        <v>2321969</v>
      </c>
      <c r="O12" s="37">
        <v>0</v>
      </c>
      <c r="P12" s="62">
        <f t="shared" si="17"/>
        <v>2321969</v>
      </c>
      <c r="Q12" s="77">
        <f t="shared" si="7"/>
        <v>-340942</v>
      </c>
      <c r="R12" s="181">
        <f t="shared" si="8"/>
        <v>0</v>
      </c>
      <c r="S12" s="491">
        <f t="shared" si="9"/>
        <v>-340942</v>
      </c>
      <c r="T12" s="61">
        <f t="shared" si="10"/>
        <v>-280075.95999999996</v>
      </c>
      <c r="U12" s="162">
        <f t="shared" si="11"/>
        <v>0</v>
      </c>
      <c r="V12" s="176">
        <f t="shared" si="12"/>
        <v>-280075.95999999996</v>
      </c>
      <c r="W12" s="181">
        <f t="shared" si="13"/>
        <v>60866.04000000004</v>
      </c>
      <c r="X12" s="181">
        <f t="shared" si="14"/>
        <v>0</v>
      </c>
      <c r="Y12" s="491">
        <f t="shared" si="15"/>
        <v>60866.04000000004</v>
      </c>
    </row>
    <row r="13" spans="1:25" ht="15">
      <c r="A13" s="39">
        <v>7</v>
      </c>
      <c r="B13" s="152" t="s">
        <v>49</v>
      </c>
      <c r="C13" s="467" t="s">
        <v>50</v>
      </c>
      <c r="D13" s="461">
        <f>'[4]1.1 Plnění rozpočtu HČ'!$D$16</f>
        <v>0</v>
      </c>
      <c r="E13" s="461">
        <v>0</v>
      </c>
      <c r="F13" s="462">
        <v>0</v>
      </c>
      <c r="G13" s="476">
        <f t="shared" si="5"/>
        <v>0</v>
      </c>
      <c r="H13" s="61">
        <v>0</v>
      </c>
      <c r="I13" s="37"/>
      <c r="J13" s="248">
        <f t="shared" si="6"/>
        <v>0</v>
      </c>
      <c r="K13" s="61">
        <v>0</v>
      </c>
      <c r="L13" s="37">
        <v>0</v>
      </c>
      <c r="M13" s="62">
        <f t="shared" si="16"/>
        <v>0</v>
      </c>
      <c r="N13" s="61">
        <v>-389498</v>
      </c>
      <c r="O13" s="37">
        <v>0</v>
      </c>
      <c r="P13" s="62">
        <f t="shared" si="17"/>
        <v>-389498</v>
      </c>
      <c r="Q13" s="77">
        <f t="shared" si="7"/>
        <v>-389498</v>
      </c>
      <c r="R13" s="181">
        <f t="shared" si="8"/>
        <v>0</v>
      </c>
      <c r="S13" s="491">
        <f t="shared" si="9"/>
        <v>-389498</v>
      </c>
      <c r="T13" s="61">
        <f t="shared" si="10"/>
        <v>-389498</v>
      </c>
      <c r="U13" s="162">
        <f t="shared" si="11"/>
        <v>0</v>
      </c>
      <c r="V13" s="176">
        <f t="shared" si="12"/>
        <v>-389498</v>
      </c>
      <c r="W13" s="181">
        <f t="shared" si="13"/>
        <v>0</v>
      </c>
      <c r="X13" s="181">
        <f t="shared" si="14"/>
        <v>0</v>
      </c>
      <c r="Y13" s="491">
        <f t="shared" si="15"/>
        <v>0</v>
      </c>
    </row>
    <row r="14" spans="1:25" ht="15">
      <c r="A14" s="39">
        <v>8</v>
      </c>
      <c r="B14" s="152" t="s">
        <v>51</v>
      </c>
      <c r="C14" s="467" t="s">
        <v>52</v>
      </c>
      <c r="D14" s="461">
        <f>'[4]1.1 Plnění rozpočtu HČ'!$D$17</f>
        <v>-344642.39</v>
      </c>
      <c r="E14" s="461">
        <v>-169729</v>
      </c>
      <c r="F14" s="462">
        <v>0</v>
      </c>
      <c r="G14" s="476">
        <f t="shared" si="5"/>
        <v>-169729</v>
      </c>
      <c r="H14" s="61">
        <v>-514085.2</v>
      </c>
      <c r="I14" s="37"/>
      <c r="J14" s="248">
        <f t="shared" si="6"/>
        <v>-514085.2</v>
      </c>
      <c r="K14" s="61">
        <v>-343293</v>
      </c>
      <c r="L14" s="37">
        <v>0</v>
      </c>
      <c r="M14" s="62">
        <f t="shared" si="16"/>
        <v>-343293</v>
      </c>
      <c r="N14" s="61">
        <v>-117869</v>
      </c>
      <c r="O14" s="37">
        <v>0</v>
      </c>
      <c r="P14" s="62">
        <f t="shared" si="17"/>
        <v>-117869</v>
      </c>
      <c r="Q14" s="77">
        <f t="shared" si="7"/>
        <v>225424</v>
      </c>
      <c r="R14" s="181">
        <f t="shared" si="8"/>
        <v>0</v>
      </c>
      <c r="S14" s="491">
        <f t="shared" si="9"/>
        <v>225424</v>
      </c>
      <c r="T14" s="61">
        <f t="shared" si="10"/>
        <v>396216.2</v>
      </c>
      <c r="U14" s="162">
        <f t="shared" si="11"/>
        <v>0</v>
      </c>
      <c r="V14" s="176">
        <f t="shared" si="12"/>
        <v>396216.2</v>
      </c>
      <c r="W14" s="181">
        <f t="shared" si="13"/>
        <v>170792.2</v>
      </c>
      <c r="X14" s="181">
        <f t="shared" si="14"/>
        <v>0</v>
      </c>
      <c r="Y14" s="491">
        <f t="shared" si="15"/>
        <v>170792.2</v>
      </c>
    </row>
    <row r="15" spans="1:25" ht="15">
      <c r="A15" s="39">
        <v>9</v>
      </c>
      <c r="B15" s="152" t="s">
        <v>53</v>
      </c>
      <c r="C15" s="467" t="s">
        <v>54</v>
      </c>
      <c r="D15" s="461">
        <f>'[4]1.1 Plnění rozpočtu HČ'!$D$18</f>
        <v>-736371.56</v>
      </c>
      <c r="E15" s="461">
        <v>-2203373</v>
      </c>
      <c r="F15" s="462">
        <v>0</v>
      </c>
      <c r="G15" s="476">
        <f t="shared" si="5"/>
        <v>-2203373</v>
      </c>
      <c r="H15" s="61">
        <v>3383275.52</v>
      </c>
      <c r="I15" s="37"/>
      <c r="J15" s="248">
        <f t="shared" si="6"/>
        <v>3383275.52</v>
      </c>
      <c r="K15" s="61">
        <v>-4361088</v>
      </c>
      <c r="L15" s="37">
        <v>0</v>
      </c>
      <c r="M15" s="62">
        <f t="shared" si="16"/>
        <v>-4361088</v>
      </c>
      <c r="N15" s="61">
        <v>1559165</v>
      </c>
      <c r="O15" s="37">
        <v>0</v>
      </c>
      <c r="P15" s="62">
        <f t="shared" si="17"/>
        <v>1559165</v>
      </c>
      <c r="Q15" s="77">
        <f t="shared" si="7"/>
        <v>5920253</v>
      </c>
      <c r="R15" s="181">
        <f t="shared" si="8"/>
        <v>0</v>
      </c>
      <c r="S15" s="491">
        <f t="shared" si="9"/>
        <v>5920253</v>
      </c>
      <c r="T15" s="61">
        <f t="shared" si="10"/>
        <v>-1824110.52</v>
      </c>
      <c r="U15" s="162">
        <f t="shared" si="11"/>
        <v>0</v>
      </c>
      <c r="V15" s="176">
        <f t="shared" si="12"/>
        <v>-1824110.52</v>
      </c>
      <c r="W15" s="181">
        <f t="shared" si="13"/>
        <v>-7744363.52</v>
      </c>
      <c r="X15" s="181">
        <f t="shared" si="14"/>
        <v>0</v>
      </c>
      <c r="Y15" s="491">
        <f t="shared" si="15"/>
        <v>-7744363.52</v>
      </c>
    </row>
    <row r="16" spans="1:25" ht="15">
      <c r="A16" s="39">
        <v>10</v>
      </c>
      <c r="B16" s="152" t="s">
        <v>55</v>
      </c>
      <c r="C16" s="467" t="s">
        <v>56</v>
      </c>
      <c r="D16" s="461">
        <f>'[4]1.1 Plnění rozpočtu HČ'!$D$19</f>
        <v>20199940.9</v>
      </c>
      <c r="E16" s="461">
        <v>17962535</v>
      </c>
      <c r="F16" s="462">
        <v>964104</v>
      </c>
      <c r="G16" s="476">
        <f t="shared" si="5"/>
        <v>16998431</v>
      </c>
      <c r="H16" s="61">
        <v>46505291.23</v>
      </c>
      <c r="I16" s="37">
        <v>627258</v>
      </c>
      <c r="J16" s="248">
        <f t="shared" si="6"/>
        <v>45878033.23</v>
      </c>
      <c r="K16" s="61">
        <v>30420966</v>
      </c>
      <c r="L16" s="37">
        <v>190601</v>
      </c>
      <c r="M16" s="62">
        <f t="shared" si="16"/>
        <v>30230365</v>
      </c>
      <c r="N16" s="61">
        <v>12233394</v>
      </c>
      <c r="O16" s="37">
        <v>7466</v>
      </c>
      <c r="P16" s="62">
        <f t="shared" si="17"/>
        <v>12225928</v>
      </c>
      <c r="Q16" s="77">
        <f t="shared" si="7"/>
        <v>-18187572</v>
      </c>
      <c r="R16" s="181">
        <f t="shared" si="8"/>
        <v>-183135</v>
      </c>
      <c r="S16" s="491">
        <f t="shared" si="9"/>
        <v>-18004437</v>
      </c>
      <c r="T16" s="61">
        <f t="shared" si="10"/>
        <v>-34271897.23</v>
      </c>
      <c r="U16" s="162">
        <f t="shared" si="11"/>
        <v>-619792</v>
      </c>
      <c r="V16" s="176">
        <f t="shared" si="12"/>
        <v>-33652105.23</v>
      </c>
      <c r="W16" s="181">
        <f t="shared" si="13"/>
        <v>-16084325.229999997</v>
      </c>
      <c r="X16" s="181">
        <f t="shared" si="14"/>
        <v>-436657</v>
      </c>
      <c r="Y16" s="491">
        <f t="shared" si="15"/>
        <v>-15647668.229999997</v>
      </c>
    </row>
    <row r="17" spans="1:25" ht="15">
      <c r="A17" s="39">
        <v>11</v>
      </c>
      <c r="B17" s="152" t="s">
        <v>57</v>
      </c>
      <c r="C17" s="467" t="s">
        <v>58</v>
      </c>
      <c r="D17" s="461">
        <f>'[4]1.1 Plnění rozpočtu HČ'!$D$20</f>
        <v>3655501.22</v>
      </c>
      <c r="E17" s="461">
        <v>3519694</v>
      </c>
      <c r="F17" s="462">
        <v>984043</v>
      </c>
      <c r="G17" s="476">
        <f t="shared" si="5"/>
        <v>2535651</v>
      </c>
      <c r="H17" s="61">
        <v>4071473.46</v>
      </c>
      <c r="I17" s="37">
        <v>1686690.49</v>
      </c>
      <c r="J17" s="248">
        <f t="shared" si="6"/>
        <v>2384782.9699999997</v>
      </c>
      <c r="K17" s="61">
        <v>4264758</v>
      </c>
      <c r="L17" s="37">
        <v>2421859</v>
      </c>
      <c r="M17" s="62">
        <f t="shared" si="16"/>
        <v>1842899</v>
      </c>
      <c r="N17" s="61">
        <v>2839855</v>
      </c>
      <c r="O17" s="37">
        <v>564022.4</v>
      </c>
      <c r="P17" s="62">
        <f t="shared" si="17"/>
        <v>2275832.6</v>
      </c>
      <c r="Q17" s="77">
        <f t="shared" si="7"/>
        <v>-1424903</v>
      </c>
      <c r="R17" s="181">
        <f t="shared" si="8"/>
        <v>-1857836.6</v>
      </c>
      <c r="S17" s="491">
        <f t="shared" si="9"/>
        <v>432933.6000000001</v>
      </c>
      <c r="T17" s="61">
        <f t="shared" si="10"/>
        <v>-1231618.46</v>
      </c>
      <c r="U17" s="162">
        <f t="shared" si="11"/>
        <v>-1122668.0899999999</v>
      </c>
      <c r="V17" s="176">
        <f t="shared" si="12"/>
        <v>-108950.36999999965</v>
      </c>
      <c r="W17" s="181">
        <f t="shared" si="13"/>
        <v>193284.54000000004</v>
      </c>
      <c r="X17" s="181">
        <f t="shared" si="14"/>
        <v>735168.51</v>
      </c>
      <c r="Y17" s="491">
        <f t="shared" si="15"/>
        <v>-541883.9699999997</v>
      </c>
    </row>
    <row r="18" spans="1:25" ht="15">
      <c r="A18" s="39">
        <v>12</v>
      </c>
      <c r="B18" s="152" t="s">
        <v>59</v>
      </c>
      <c r="C18" s="467" t="s">
        <v>60</v>
      </c>
      <c r="D18" s="461">
        <f>'[4]1.1 Plnění rozpočtu HČ'!$D$21</f>
        <v>291854.65</v>
      </c>
      <c r="E18" s="461">
        <v>305113</v>
      </c>
      <c r="F18" s="462">
        <v>16278</v>
      </c>
      <c r="G18" s="476">
        <f t="shared" si="5"/>
        <v>288835</v>
      </c>
      <c r="H18" s="61">
        <v>253407.4</v>
      </c>
      <c r="I18" s="37">
        <v>11509</v>
      </c>
      <c r="J18" s="248">
        <f t="shared" si="6"/>
        <v>241898.4</v>
      </c>
      <c r="K18" s="61">
        <v>420859</v>
      </c>
      <c r="L18" s="37">
        <v>11696</v>
      </c>
      <c r="M18" s="62">
        <f t="shared" si="16"/>
        <v>409163</v>
      </c>
      <c r="N18" s="61">
        <v>819960</v>
      </c>
      <c r="O18" s="37">
        <v>23573</v>
      </c>
      <c r="P18" s="62">
        <f t="shared" si="17"/>
        <v>796387</v>
      </c>
      <c r="Q18" s="77">
        <f t="shared" si="7"/>
        <v>399101</v>
      </c>
      <c r="R18" s="181">
        <f t="shared" si="8"/>
        <v>11877</v>
      </c>
      <c r="S18" s="491">
        <f t="shared" si="9"/>
        <v>387224</v>
      </c>
      <c r="T18" s="61">
        <f t="shared" si="10"/>
        <v>566552.6</v>
      </c>
      <c r="U18" s="162">
        <f t="shared" si="11"/>
        <v>12064</v>
      </c>
      <c r="V18" s="176">
        <f t="shared" si="12"/>
        <v>554488.6</v>
      </c>
      <c r="W18" s="181">
        <f t="shared" si="13"/>
        <v>167451.6</v>
      </c>
      <c r="X18" s="181">
        <f t="shared" si="14"/>
        <v>187</v>
      </c>
      <c r="Y18" s="491">
        <f t="shared" si="15"/>
        <v>167264.6</v>
      </c>
    </row>
    <row r="19" spans="1:25" ht="15">
      <c r="A19" s="39">
        <v>13</v>
      </c>
      <c r="B19" s="152" t="s">
        <v>61</v>
      </c>
      <c r="C19" s="467" t="s">
        <v>62</v>
      </c>
      <c r="D19" s="461">
        <f>'[4]1.1 Plnění rozpočtu HČ'!$D$22</f>
        <v>-1155.4</v>
      </c>
      <c r="E19" s="461">
        <v>0</v>
      </c>
      <c r="F19" s="462">
        <v>0</v>
      </c>
      <c r="G19" s="476">
        <f t="shared" si="5"/>
        <v>0</v>
      </c>
      <c r="H19" s="61">
        <v>0</v>
      </c>
      <c r="I19" s="37"/>
      <c r="J19" s="248">
        <f t="shared" si="6"/>
        <v>0</v>
      </c>
      <c r="K19" s="61">
        <v>0</v>
      </c>
      <c r="L19" s="37">
        <v>0</v>
      </c>
      <c r="M19" s="62">
        <f t="shared" si="16"/>
        <v>0</v>
      </c>
      <c r="N19" s="61">
        <v>0</v>
      </c>
      <c r="O19" s="37">
        <v>0</v>
      </c>
      <c r="P19" s="62">
        <f t="shared" si="17"/>
        <v>0</v>
      </c>
      <c r="Q19" s="77">
        <f t="shared" si="7"/>
        <v>0</v>
      </c>
      <c r="R19" s="181">
        <f t="shared" si="8"/>
        <v>0</v>
      </c>
      <c r="S19" s="491">
        <f t="shared" si="9"/>
        <v>0</v>
      </c>
      <c r="T19" s="61">
        <f t="shared" si="10"/>
        <v>0</v>
      </c>
      <c r="U19" s="162">
        <f t="shared" si="11"/>
        <v>0</v>
      </c>
      <c r="V19" s="176">
        <f t="shared" si="12"/>
        <v>0</v>
      </c>
      <c r="W19" s="181">
        <f t="shared" si="13"/>
        <v>0</v>
      </c>
      <c r="X19" s="181">
        <f t="shared" si="14"/>
        <v>0</v>
      </c>
      <c r="Y19" s="491">
        <f t="shared" si="15"/>
        <v>0</v>
      </c>
    </row>
    <row r="20" spans="1:25" ht="15">
      <c r="A20" s="39">
        <v>14</v>
      </c>
      <c r="B20" s="152" t="s">
        <v>63</v>
      </c>
      <c r="C20" s="467" t="s">
        <v>64</v>
      </c>
      <c r="D20" s="461">
        <f>'[4]1.1 Plnění rozpočtu HČ'!$D$23</f>
        <v>110523891.52</v>
      </c>
      <c r="E20" s="461">
        <v>105222761</v>
      </c>
      <c r="F20" s="462">
        <v>30845223</v>
      </c>
      <c r="G20" s="476">
        <f t="shared" si="5"/>
        <v>74377538</v>
      </c>
      <c r="H20" s="61">
        <v>115063277.95</v>
      </c>
      <c r="I20" s="37">
        <v>17779316</v>
      </c>
      <c r="J20" s="248">
        <f t="shared" si="6"/>
        <v>97283961.95</v>
      </c>
      <c r="K20" s="61">
        <v>110639703</v>
      </c>
      <c r="L20" s="37">
        <v>21300440</v>
      </c>
      <c r="M20" s="62">
        <f t="shared" si="16"/>
        <v>89339263</v>
      </c>
      <c r="N20" s="61">
        <v>119042148</v>
      </c>
      <c r="O20" s="37">
        <v>25449598</v>
      </c>
      <c r="P20" s="62">
        <f t="shared" si="17"/>
        <v>93592550</v>
      </c>
      <c r="Q20" s="77">
        <f t="shared" si="7"/>
        <v>8402445</v>
      </c>
      <c r="R20" s="181">
        <f t="shared" si="8"/>
        <v>4149158</v>
      </c>
      <c r="S20" s="491">
        <f t="shared" si="9"/>
        <v>4253287</v>
      </c>
      <c r="T20" s="61">
        <f t="shared" si="10"/>
        <v>3978870.049999997</v>
      </c>
      <c r="U20" s="162">
        <f t="shared" si="11"/>
        <v>7670282</v>
      </c>
      <c r="V20" s="176">
        <f t="shared" si="12"/>
        <v>-3691411.950000003</v>
      </c>
      <c r="W20" s="181">
        <f t="shared" si="13"/>
        <v>-4423574.950000003</v>
      </c>
      <c r="X20" s="181">
        <f t="shared" si="14"/>
        <v>3521124</v>
      </c>
      <c r="Y20" s="491">
        <f t="shared" si="15"/>
        <v>-7944698.950000003</v>
      </c>
    </row>
    <row r="21" spans="1:25" ht="15">
      <c r="A21" s="39">
        <v>15</v>
      </c>
      <c r="B21" s="152" t="s">
        <v>65</v>
      </c>
      <c r="C21" s="467" t="s">
        <v>66</v>
      </c>
      <c r="D21" s="461">
        <f>'[4]1.1 Plnění rozpočtu HČ'!$D$24</f>
        <v>76742228</v>
      </c>
      <c r="E21" s="461">
        <v>83888397</v>
      </c>
      <c r="F21" s="462">
        <v>8555202</v>
      </c>
      <c r="G21" s="476">
        <f t="shared" si="5"/>
        <v>75333195</v>
      </c>
      <c r="H21" s="61">
        <v>82383605</v>
      </c>
      <c r="I21" s="37">
        <v>5821516</v>
      </c>
      <c r="J21" s="248">
        <f t="shared" si="6"/>
        <v>76562089</v>
      </c>
      <c r="K21" s="61">
        <v>85906162</v>
      </c>
      <c r="L21" s="37">
        <v>4730310</v>
      </c>
      <c r="M21" s="62">
        <f t="shared" si="16"/>
        <v>81175852</v>
      </c>
      <c r="N21" s="61">
        <v>94768193</v>
      </c>
      <c r="O21" s="37">
        <v>6957043</v>
      </c>
      <c r="P21" s="62">
        <f t="shared" si="17"/>
        <v>87811150</v>
      </c>
      <c r="Q21" s="77">
        <f t="shared" si="7"/>
        <v>8862031</v>
      </c>
      <c r="R21" s="181">
        <f t="shared" si="8"/>
        <v>2226733</v>
      </c>
      <c r="S21" s="491">
        <f t="shared" si="9"/>
        <v>6635298</v>
      </c>
      <c r="T21" s="61">
        <f t="shared" si="10"/>
        <v>12384588</v>
      </c>
      <c r="U21" s="162">
        <f t="shared" si="11"/>
        <v>1135527</v>
      </c>
      <c r="V21" s="176">
        <f t="shared" si="12"/>
        <v>11249061</v>
      </c>
      <c r="W21" s="181">
        <f t="shared" si="13"/>
        <v>3522557</v>
      </c>
      <c r="X21" s="181">
        <f t="shared" si="14"/>
        <v>-1091206</v>
      </c>
      <c r="Y21" s="491">
        <f t="shared" si="15"/>
        <v>4613763</v>
      </c>
    </row>
    <row r="22" spans="1:25" ht="15">
      <c r="A22" s="39">
        <v>16</v>
      </c>
      <c r="B22" s="152" t="s">
        <v>67</v>
      </c>
      <c r="C22" s="467" t="s">
        <v>68</v>
      </c>
      <c r="D22" s="461">
        <f>'[4]1.1 Plnění rozpočtu HČ'!$D$25</f>
        <v>25913833</v>
      </c>
      <c r="E22" s="461">
        <v>28250014</v>
      </c>
      <c r="F22" s="462">
        <v>2717990</v>
      </c>
      <c r="G22" s="476">
        <f t="shared" si="5"/>
        <v>25532024</v>
      </c>
      <c r="H22" s="61">
        <v>27902174</v>
      </c>
      <c r="I22" s="37">
        <v>1845445</v>
      </c>
      <c r="J22" s="248">
        <f t="shared" si="6"/>
        <v>26056729</v>
      </c>
      <c r="K22" s="61">
        <v>29047470</v>
      </c>
      <c r="L22" s="37">
        <v>1476268</v>
      </c>
      <c r="M22" s="62">
        <f t="shared" si="16"/>
        <v>27571202</v>
      </c>
      <c r="N22" s="61">
        <v>31778337</v>
      </c>
      <c r="O22" s="37">
        <v>2135533</v>
      </c>
      <c r="P22" s="62">
        <f t="shared" si="17"/>
        <v>29642804</v>
      </c>
      <c r="Q22" s="77">
        <f t="shared" si="7"/>
        <v>2730867</v>
      </c>
      <c r="R22" s="181">
        <f t="shared" si="8"/>
        <v>659265</v>
      </c>
      <c r="S22" s="491">
        <f t="shared" si="9"/>
        <v>2071602</v>
      </c>
      <c r="T22" s="61">
        <f t="shared" si="10"/>
        <v>3876163</v>
      </c>
      <c r="U22" s="162">
        <f t="shared" si="11"/>
        <v>290088</v>
      </c>
      <c r="V22" s="176">
        <f t="shared" si="12"/>
        <v>3586075</v>
      </c>
      <c r="W22" s="181">
        <f t="shared" si="13"/>
        <v>1145296</v>
      </c>
      <c r="X22" s="181">
        <f t="shared" si="14"/>
        <v>-369177</v>
      </c>
      <c r="Y22" s="491">
        <f t="shared" si="15"/>
        <v>1514473</v>
      </c>
    </row>
    <row r="23" spans="1:25" ht="15">
      <c r="A23" s="39">
        <v>17</v>
      </c>
      <c r="B23" s="152" t="s">
        <v>69</v>
      </c>
      <c r="C23" s="467" t="s">
        <v>70</v>
      </c>
      <c r="D23" s="461">
        <f>'[4]1.1 Plnění rozpočtu HČ'!$D$26</f>
        <v>502179</v>
      </c>
      <c r="E23" s="461">
        <v>538880</v>
      </c>
      <c r="F23" s="462">
        <v>0</v>
      </c>
      <c r="G23" s="476">
        <f t="shared" si="5"/>
        <v>538880</v>
      </c>
      <c r="H23" s="61">
        <v>571308</v>
      </c>
      <c r="I23" s="37"/>
      <c r="J23" s="248">
        <f t="shared" si="6"/>
        <v>571308</v>
      </c>
      <c r="K23" s="61">
        <v>546244</v>
      </c>
      <c r="L23" s="37">
        <v>0</v>
      </c>
      <c r="M23" s="62">
        <f t="shared" si="16"/>
        <v>546244</v>
      </c>
      <c r="N23" s="61">
        <v>617623</v>
      </c>
      <c r="O23" s="37">
        <v>0</v>
      </c>
      <c r="P23" s="62">
        <f t="shared" si="17"/>
        <v>617623</v>
      </c>
      <c r="Q23" s="77">
        <f t="shared" si="7"/>
        <v>71379</v>
      </c>
      <c r="R23" s="181">
        <f t="shared" si="8"/>
        <v>0</v>
      </c>
      <c r="S23" s="491">
        <f t="shared" si="9"/>
        <v>71379</v>
      </c>
      <c r="T23" s="61">
        <f t="shared" si="10"/>
        <v>46315</v>
      </c>
      <c r="U23" s="162">
        <f aca="true" t="shared" si="18" ref="U23:U79">+O23-I23</f>
        <v>0</v>
      </c>
      <c r="V23" s="176">
        <f aca="true" t="shared" si="19" ref="V23:V78">+P23-J23</f>
        <v>46315</v>
      </c>
      <c r="W23" s="181">
        <f t="shared" si="13"/>
        <v>-25064</v>
      </c>
      <c r="X23" s="181">
        <f t="shared" si="14"/>
        <v>0</v>
      </c>
      <c r="Y23" s="491">
        <f t="shared" si="15"/>
        <v>-25064</v>
      </c>
    </row>
    <row r="24" spans="1:25" ht="15">
      <c r="A24" s="39">
        <v>18</v>
      </c>
      <c r="B24" s="152" t="s">
        <v>71</v>
      </c>
      <c r="C24" s="467" t="s">
        <v>72</v>
      </c>
      <c r="D24" s="461">
        <f>'[4]1.1 Plnění rozpočtu HČ'!$D$27</f>
        <v>2789798.25</v>
      </c>
      <c r="E24" s="461">
        <v>5311791</v>
      </c>
      <c r="F24" s="462">
        <v>248142</v>
      </c>
      <c r="G24" s="476">
        <f t="shared" si="5"/>
        <v>5063649</v>
      </c>
      <c r="H24" s="61">
        <v>5182470.11</v>
      </c>
      <c r="I24" s="37">
        <v>102423</v>
      </c>
      <c r="J24" s="248">
        <f t="shared" si="6"/>
        <v>5080047.11</v>
      </c>
      <c r="K24" s="61">
        <v>4993679</v>
      </c>
      <c r="L24" s="37">
        <v>199053</v>
      </c>
      <c r="M24" s="62">
        <f t="shared" si="16"/>
        <v>4794626</v>
      </c>
      <c r="N24" s="61">
        <v>5440067</v>
      </c>
      <c r="O24" s="37">
        <v>295186</v>
      </c>
      <c r="P24" s="62">
        <f t="shared" si="17"/>
        <v>5144881</v>
      </c>
      <c r="Q24" s="77">
        <f t="shared" si="7"/>
        <v>446388</v>
      </c>
      <c r="R24" s="181">
        <f t="shared" si="8"/>
        <v>96133</v>
      </c>
      <c r="S24" s="491">
        <f t="shared" si="9"/>
        <v>350255</v>
      </c>
      <c r="T24" s="61">
        <f t="shared" si="10"/>
        <v>257596.88999999966</v>
      </c>
      <c r="U24" s="162">
        <f t="shared" si="18"/>
        <v>192763</v>
      </c>
      <c r="V24" s="176">
        <f t="shared" si="19"/>
        <v>64833.889999999665</v>
      </c>
      <c r="W24" s="181">
        <f t="shared" si="13"/>
        <v>-188791.11000000034</v>
      </c>
      <c r="X24" s="181">
        <f t="shared" si="14"/>
        <v>96630</v>
      </c>
      <c r="Y24" s="491">
        <f t="shared" si="15"/>
        <v>-285421.11000000034</v>
      </c>
    </row>
    <row r="25" spans="1:25" ht="15">
      <c r="A25" s="39">
        <v>19</v>
      </c>
      <c r="B25" s="152" t="s">
        <v>73</v>
      </c>
      <c r="C25" s="467" t="s">
        <v>74</v>
      </c>
      <c r="D25" s="461">
        <f>'[4]1.1 Plnění rozpočtu HČ'!$D$28</f>
        <v>0</v>
      </c>
      <c r="E25" s="461">
        <v>0</v>
      </c>
      <c r="F25" s="462">
        <v>0</v>
      </c>
      <c r="G25" s="476">
        <f t="shared" si="5"/>
        <v>0</v>
      </c>
      <c r="H25" s="61">
        <v>0</v>
      </c>
      <c r="I25" s="37"/>
      <c r="J25" s="248">
        <f t="shared" si="6"/>
        <v>0</v>
      </c>
      <c r="K25" s="61">
        <v>0</v>
      </c>
      <c r="L25" s="37">
        <v>0</v>
      </c>
      <c r="M25" s="62">
        <f t="shared" si="16"/>
        <v>0</v>
      </c>
      <c r="N25" s="61">
        <v>0</v>
      </c>
      <c r="O25" s="37">
        <v>0</v>
      </c>
      <c r="P25" s="62">
        <f t="shared" si="17"/>
        <v>0</v>
      </c>
      <c r="Q25" s="77">
        <f t="shared" si="7"/>
        <v>0</v>
      </c>
      <c r="R25" s="181">
        <f t="shared" si="8"/>
        <v>0</v>
      </c>
      <c r="S25" s="491">
        <f t="shared" si="9"/>
        <v>0</v>
      </c>
      <c r="T25" s="61">
        <f t="shared" si="10"/>
        <v>0</v>
      </c>
      <c r="U25" s="162">
        <f t="shared" si="18"/>
        <v>0</v>
      </c>
      <c r="V25" s="176">
        <f t="shared" si="19"/>
        <v>0</v>
      </c>
      <c r="W25" s="181">
        <f t="shared" si="13"/>
        <v>0</v>
      </c>
      <c r="X25" s="181">
        <f t="shared" si="14"/>
        <v>0</v>
      </c>
      <c r="Y25" s="491">
        <f t="shared" si="15"/>
        <v>0</v>
      </c>
    </row>
    <row r="26" spans="1:25" ht="15">
      <c r="A26" s="39">
        <v>20</v>
      </c>
      <c r="B26" s="152" t="s">
        <v>75</v>
      </c>
      <c r="C26" s="467" t="s">
        <v>76</v>
      </c>
      <c r="D26" s="461">
        <f>'[4]1.1 Plnění rozpočtu HČ'!$D$29</f>
        <v>276680</v>
      </c>
      <c r="E26" s="461">
        <v>318252</v>
      </c>
      <c r="F26" s="462">
        <v>0</v>
      </c>
      <c r="G26" s="476">
        <f t="shared" si="5"/>
        <v>318252</v>
      </c>
      <c r="H26" s="61">
        <v>305000</v>
      </c>
      <c r="I26" s="37"/>
      <c r="J26" s="248">
        <f t="shared" si="6"/>
        <v>305000</v>
      </c>
      <c r="K26" s="61">
        <v>357532</v>
      </c>
      <c r="L26" s="37">
        <v>0</v>
      </c>
      <c r="M26" s="62">
        <f t="shared" si="16"/>
        <v>357532</v>
      </c>
      <c r="N26" s="61">
        <v>328401</v>
      </c>
      <c r="O26" s="37">
        <v>0</v>
      </c>
      <c r="P26" s="62">
        <f t="shared" si="17"/>
        <v>328401</v>
      </c>
      <c r="Q26" s="77">
        <f t="shared" si="7"/>
        <v>-29131</v>
      </c>
      <c r="R26" s="181">
        <f t="shared" si="8"/>
        <v>0</v>
      </c>
      <c r="S26" s="491">
        <f t="shared" si="9"/>
        <v>-29131</v>
      </c>
      <c r="T26" s="61">
        <f t="shared" si="10"/>
        <v>23401</v>
      </c>
      <c r="U26" s="162">
        <f t="shared" si="18"/>
        <v>0</v>
      </c>
      <c r="V26" s="176">
        <f t="shared" si="19"/>
        <v>23401</v>
      </c>
      <c r="W26" s="181">
        <f t="shared" si="13"/>
        <v>52532</v>
      </c>
      <c r="X26" s="181">
        <f t="shared" si="14"/>
        <v>0</v>
      </c>
      <c r="Y26" s="491">
        <f t="shared" si="15"/>
        <v>52532</v>
      </c>
    </row>
    <row r="27" spans="1:25" ht="15">
      <c r="A27" s="39">
        <v>21</v>
      </c>
      <c r="B27" s="152" t="s">
        <v>77</v>
      </c>
      <c r="C27" s="467" t="s">
        <v>78</v>
      </c>
      <c r="D27" s="461">
        <f>'[4]1.1 Plnění rozpočtu HČ'!$D$30</f>
        <v>367876</v>
      </c>
      <c r="E27" s="461">
        <v>557143</v>
      </c>
      <c r="F27" s="462">
        <v>0</v>
      </c>
      <c r="G27" s="476">
        <f t="shared" si="5"/>
        <v>557143</v>
      </c>
      <c r="H27" s="61">
        <v>363260</v>
      </c>
      <c r="I27" s="37"/>
      <c r="J27" s="248">
        <f t="shared" si="6"/>
        <v>363260</v>
      </c>
      <c r="K27" s="61">
        <v>467370</v>
      </c>
      <c r="L27" s="37">
        <v>0</v>
      </c>
      <c r="M27" s="62">
        <f t="shared" si="16"/>
        <v>467370</v>
      </c>
      <c r="N27" s="61">
        <v>585210</v>
      </c>
      <c r="O27" s="37">
        <v>0</v>
      </c>
      <c r="P27" s="62">
        <f t="shared" si="17"/>
        <v>585210</v>
      </c>
      <c r="Q27" s="77">
        <f t="shared" si="7"/>
        <v>117840</v>
      </c>
      <c r="R27" s="181">
        <f t="shared" si="8"/>
        <v>0</v>
      </c>
      <c r="S27" s="491">
        <f t="shared" si="9"/>
        <v>117840</v>
      </c>
      <c r="T27" s="61">
        <f t="shared" si="10"/>
        <v>221950</v>
      </c>
      <c r="U27" s="162">
        <f t="shared" si="18"/>
        <v>0</v>
      </c>
      <c r="V27" s="176">
        <f t="shared" si="19"/>
        <v>221950</v>
      </c>
      <c r="W27" s="181">
        <f t="shared" si="13"/>
        <v>104110</v>
      </c>
      <c r="X27" s="181">
        <f t="shared" si="14"/>
        <v>0</v>
      </c>
      <c r="Y27" s="491">
        <f t="shared" si="15"/>
        <v>104110</v>
      </c>
    </row>
    <row r="28" spans="1:25" ht="15">
      <c r="A28" s="39">
        <v>22</v>
      </c>
      <c r="B28" s="152" t="s">
        <v>79</v>
      </c>
      <c r="C28" s="467" t="s">
        <v>80</v>
      </c>
      <c r="D28" s="461">
        <f>'[4]1.1 Plnění rozpočtu HČ'!$D$31</f>
        <v>123673.44</v>
      </c>
      <c r="E28" s="461">
        <v>105325</v>
      </c>
      <c r="F28" s="462">
        <v>3682</v>
      </c>
      <c r="G28" s="476">
        <f t="shared" si="5"/>
        <v>101643</v>
      </c>
      <c r="H28" s="61">
        <v>167305.11</v>
      </c>
      <c r="I28" s="37">
        <v>5458.81</v>
      </c>
      <c r="J28" s="248">
        <f t="shared" si="6"/>
        <v>161846.3</v>
      </c>
      <c r="K28" s="61">
        <v>176542</v>
      </c>
      <c r="L28" s="37">
        <v>2520</v>
      </c>
      <c r="M28" s="62">
        <f t="shared" si="16"/>
        <v>174022</v>
      </c>
      <c r="N28" s="61">
        <v>146095</v>
      </c>
      <c r="O28" s="37">
        <v>0</v>
      </c>
      <c r="P28" s="62">
        <f t="shared" si="17"/>
        <v>146095</v>
      </c>
      <c r="Q28" s="77">
        <f t="shared" si="7"/>
        <v>-30447</v>
      </c>
      <c r="R28" s="181">
        <f t="shared" si="8"/>
        <v>-2520</v>
      </c>
      <c r="S28" s="491">
        <f t="shared" si="9"/>
        <v>-27927</v>
      </c>
      <c r="T28" s="61">
        <f t="shared" si="10"/>
        <v>-21210.109999999986</v>
      </c>
      <c r="U28" s="162">
        <f t="shared" si="18"/>
        <v>-5458.81</v>
      </c>
      <c r="V28" s="176">
        <f t="shared" si="19"/>
        <v>-15751.299999999988</v>
      </c>
      <c r="W28" s="181">
        <f t="shared" si="13"/>
        <v>9236.890000000014</v>
      </c>
      <c r="X28" s="181">
        <f t="shared" si="14"/>
        <v>-2938.8100000000004</v>
      </c>
      <c r="Y28" s="491">
        <f t="shared" si="15"/>
        <v>12175.700000000012</v>
      </c>
    </row>
    <row r="29" spans="1:25" ht="15">
      <c r="A29" s="39">
        <v>23</v>
      </c>
      <c r="B29" s="152" t="s">
        <v>81</v>
      </c>
      <c r="C29" s="467" t="s">
        <v>82</v>
      </c>
      <c r="D29" s="461">
        <f>'[4]1.1 Plnění rozpočtu HČ'!$D$32</f>
        <v>0</v>
      </c>
      <c r="E29" s="461">
        <v>0</v>
      </c>
      <c r="F29" s="462">
        <v>0</v>
      </c>
      <c r="G29" s="476">
        <f t="shared" si="5"/>
        <v>0</v>
      </c>
      <c r="H29" s="61">
        <v>0</v>
      </c>
      <c r="I29" s="37"/>
      <c r="J29" s="248">
        <f t="shared" si="6"/>
        <v>0</v>
      </c>
      <c r="K29" s="61">
        <v>0</v>
      </c>
      <c r="L29" s="37">
        <v>0</v>
      </c>
      <c r="M29" s="62">
        <f t="shared" si="16"/>
        <v>0</v>
      </c>
      <c r="N29" s="61">
        <v>0</v>
      </c>
      <c r="O29" s="37">
        <v>0</v>
      </c>
      <c r="P29" s="62">
        <f t="shared" si="17"/>
        <v>0</v>
      </c>
      <c r="Q29" s="77">
        <f t="shared" si="7"/>
        <v>0</v>
      </c>
      <c r="R29" s="181">
        <f t="shared" si="8"/>
        <v>0</v>
      </c>
      <c r="S29" s="491">
        <f t="shared" si="9"/>
        <v>0</v>
      </c>
      <c r="T29" s="61">
        <f t="shared" si="10"/>
        <v>0</v>
      </c>
      <c r="U29" s="162">
        <f t="shared" si="18"/>
        <v>0</v>
      </c>
      <c r="V29" s="176">
        <f t="shared" si="19"/>
        <v>0</v>
      </c>
      <c r="W29" s="181">
        <f t="shared" si="13"/>
        <v>0</v>
      </c>
      <c r="X29" s="181">
        <f t="shared" si="14"/>
        <v>0</v>
      </c>
      <c r="Y29" s="491">
        <f t="shared" si="15"/>
        <v>0</v>
      </c>
    </row>
    <row r="30" spans="1:25" ht="15">
      <c r="A30" s="39">
        <v>24</v>
      </c>
      <c r="B30" s="152" t="s">
        <v>83</v>
      </c>
      <c r="C30" s="467" t="s">
        <v>84</v>
      </c>
      <c r="D30" s="461">
        <f>'[4]1.1 Plnění rozpočtu HČ'!$D$33</f>
        <v>0</v>
      </c>
      <c r="E30" s="461">
        <v>496</v>
      </c>
      <c r="F30" s="462">
        <v>0</v>
      </c>
      <c r="G30" s="476">
        <f t="shared" si="5"/>
        <v>496</v>
      </c>
      <c r="H30" s="61">
        <v>1084</v>
      </c>
      <c r="I30" s="37"/>
      <c r="J30" s="248">
        <f t="shared" si="6"/>
        <v>1084</v>
      </c>
      <c r="K30" s="61">
        <v>0</v>
      </c>
      <c r="L30" s="37">
        <v>0</v>
      </c>
      <c r="M30" s="62">
        <f t="shared" si="16"/>
        <v>0</v>
      </c>
      <c r="N30" s="61">
        <v>0</v>
      </c>
      <c r="O30" s="37">
        <v>0</v>
      </c>
      <c r="P30" s="62">
        <f t="shared" si="17"/>
        <v>0</v>
      </c>
      <c r="Q30" s="77">
        <f t="shared" si="7"/>
        <v>0</v>
      </c>
      <c r="R30" s="181">
        <f t="shared" si="8"/>
        <v>0</v>
      </c>
      <c r="S30" s="491">
        <f t="shared" si="9"/>
        <v>0</v>
      </c>
      <c r="T30" s="61">
        <f t="shared" si="10"/>
        <v>-1084</v>
      </c>
      <c r="U30" s="162">
        <f t="shared" si="18"/>
        <v>0</v>
      </c>
      <c r="V30" s="176">
        <f t="shared" si="19"/>
        <v>-1084</v>
      </c>
      <c r="W30" s="181">
        <f t="shared" si="13"/>
        <v>-1084</v>
      </c>
      <c r="X30" s="181">
        <f t="shared" si="14"/>
        <v>0</v>
      </c>
      <c r="Y30" s="491">
        <f t="shared" si="15"/>
        <v>-1084</v>
      </c>
    </row>
    <row r="31" spans="1:25" ht="15">
      <c r="A31" s="39">
        <v>25</v>
      </c>
      <c r="B31" s="152" t="s">
        <v>85</v>
      </c>
      <c r="C31" s="467" t="s">
        <v>86</v>
      </c>
      <c r="D31" s="461">
        <f>'[4]1.1 Plnění rozpočtu HČ'!$D$34</f>
        <v>0</v>
      </c>
      <c r="E31" s="461">
        <v>0</v>
      </c>
      <c r="F31" s="462">
        <v>0</v>
      </c>
      <c r="G31" s="476">
        <f t="shared" si="5"/>
        <v>0</v>
      </c>
      <c r="H31" s="61">
        <v>0</v>
      </c>
      <c r="I31" s="37"/>
      <c r="J31" s="248">
        <f t="shared" si="6"/>
        <v>0</v>
      </c>
      <c r="K31" s="61">
        <v>0</v>
      </c>
      <c r="L31" s="37">
        <v>0</v>
      </c>
      <c r="M31" s="62">
        <f t="shared" si="16"/>
        <v>0</v>
      </c>
      <c r="N31" s="61">
        <v>0</v>
      </c>
      <c r="O31" s="37">
        <v>0</v>
      </c>
      <c r="P31" s="62">
        <f t="shared" si="17"/>
        <v>0</v>
      </c>
      <c r="Q31" s="77">
        <f t="shared" si="7"/>
        <v>0</v>
      </c>
      <c r="R31" s="181">
        <f t="shared" si="8"/>
        <v>0</v>
      </c>
      <c r="S31" s="491">
        <f t="shared" si="9"/>
        <v>0</v>
      </c>
      <c r="T31" s="61">
        <f t="shared" si="10"/>
        <v>0</v>
      </c>
      <c r="U31" s="162">
        <f t="shared" si="18"/>
        <v>0</v>
      </c>
      <c r="V31" s="176">
        <f t="shared" si="19"/>
        <v>0</v>
      </c>
      <c r="W31" s="181">
        <f t="shared" si="13"/>
        <v>0</v>
      </c>
      <c r="X31" s="181">
        <f t="shared" si="14"/>
        <v>0</v>
      </c>
      <c r="Y31" s="491">
        <f t="shared" si="15"/>
        <v>0</v>
      </c>
    </row>
    <row r="32" spans="1:25" ht="15">
      <c r="A32" s="39">
        <v>26</v>
      </c>
      <c r="B32" s="152" t="s">
        <v>87</v>
      </c>
      <c r="C32" s="467" t="s">
        <v>88</v>
      </c>
      <c r="D32" s="461">
        <f>'[4]1.1 Plnění rozpočtu HČ'!$D$35</f>
        <v>116561.53</v>
      </c>
      <c r="E32" s="461">
        <v>71303</v>
      </c>
      <c r="F32" s="462">
        <v>0</v>
      </c>
      <c r="G32" s="476">
        <f t="shared" si="5"/>
        <v>71303</v>
      </c>
      <c r="H32" s="61">
        <v>35885.39</v>
      </c>
      <c r="I32" s="37"/>
      <c r="J32" s="248">
        <f t="shared" si="6"/>
        <v>35885.39</v>
      </c>
      <c r="K32" s="61">
        <v>181416</v>
      </c>
      <c r="L32" s="37">
        <v>0</v>
      </c>
      <c r="M32" s="62">
        <f t="shared" si="16"/>
        <v>181416</v>
      </c>
      <c r="N32" s="61">
        <v>488498</v>
      </c>
      <c r="O32" s="37">
        <v>0</v>
      </c>
      <c r="P32" s="62">
        <f t="shared" si="17"/>
        <v>488498</v>
      </c>
      <c r="Q32" s="77">
        <f t="shared" si="7"/>
        <v>307082</v>
      </c>
      <c r="R32" s="181">
        <f t="shared" si="8"/>
        <v>0</v>
      </c>
      <c r="S32" s="491">
        <f t="shared" si="9"/>
        <v>307082</v>
      </c>
      <c r="T32" s="61">
        <f t="shared" si="10"/>
        <v>452612.61</v>
      </c>
      <c r="U32" s="162">
        <f t="shared" si="18"/>
        <v>0</v>
      </c>
      <c r="V32" s="176">
        <f t="shared" si="19"/>
        <v>452612.61</v>
      </c>
      <c r="W32" s="181">
        <f t="shared" si="13"/>
        <v>145530.61</v>
      </c>
      <c r="X32" s="181">
        <f t="shared" si="14"/>
        <v>0</v>
      </c>
      <c r="Y32" s="491">
        <f t="shared" si="15"/>
        <v>145530.61</v>
      </c>
    </row>
    <row r="33" spans="1:25" ht="15">
      <c r="A33" s="39">
        <v>27</v>
      </c>
      <c r="B33" s="152" t="s">
        <v>89</v>
      </c>
      <c r="C33" s="467" t="s">
        <v>90</v>
      </c>
      <c r="D33" s="461">
        <f>'[4]1.1 Plnění rozpočtu HČ'!$D$36</f>
        <v>46016.84</v>
      </c>
      <c r="E33" s="461">
        <v>388662</v>
      </c>
      <c r="F33" s="462">
        <v>62340</v>
      </c>
      <c r="G33" s="476">
        <f t="shared" si="5"/>
        <v>326322</v>
      </c>
      <c r="H33" s="61">
        <v>743191.14</v>
      </c>
      <c r="I33" s="37"/>
      <c r="J33" s="248">
        <f t="shared" si="6"/>
        <v>743191.14</v>
      </c>
      <c r="K33" s="61">
        <v>3449736</v>
      </c>
      <c r="L33" s="37">
        <v>0</v>
      </c>
      <c r="M33" s="62">
        <f t="shared" si="16"/>
        <v>3449736</v>
      </c>
      <c r="N33" s="61">
        <v>351253</v>
      </c>
      <c r="O33" s="37">
        <v>0</v>
      </c>
      <c r="P33" s="62">
        <f t="shared" si="17"/>
        <v>351253</v>
      </c>
      <c r="Q33" s="77">
        <f t="shared" si="7"/>
        <v>-3098483</v>
      </c>
      <c r="R33" s="181">
        <f t="shared" si="8"/>
        <v>0</v>
      </c>
      <c r="S33" s="491">
        <f t="shared" si="9"/>
        <v>-3098483</v>
      </c>
      <c r="T33" s="61">
        <f t="shared" si="10"/>
        <v>-391938.14</v>
      </c>
      <c r="U33" s="162">
        <f t="shared" si="18"/>
        <v>0</v>
      </c>
      <c r="V33" s="176">
        <f t="shared" si="19"/>
        <v>-391938.14</v>
      </c>
      <c r="W33" s="181">
        <f t="shared" si="13"/>
        <v>2706544.86</v>
      </c>
      <c r="X33" s="181">
        <f t="shared" si="14"/>
        <v>0</v>
      </c>
      <c r="Y33" s="491">
        <f t="shared" si="15"/>
        <v>2706544.86</v>
      </c>
    </row>
    <row r="34" spans="1:25" ht="15">
      <c r="A34" s="39">
        <v>28</v>
      </c>
      <c r="B34" s="152" t="s">
        <v>91</v>
      </c>
      <c r="C34" s="467" t="s">
        <v>92</v>
      </c>
      <c r="D34" s="461">
        <f>'[4]1.1 Plnění rozpočtu HČ'!$D$37</f>
        <v>1736436</v>
      </c>
      <c r="E34" s="461">
        <v>0</v>
      </c>
      <c r="F34" s="462">
        <v>0</v>
      </c>
      <c r="G34" s="476">
        <f t="shared" si="5"/>
        <v>0</v>
      </c>
      <c r="H34" s="61">
        <v>0</v>
      </c>
      <c r="I34" s="37"/>
      <c r="J34" s="248">
        <f t="shared" si="6"/>
        <v>0</v>
      </c>
      <c r="K34" s="61">
        <v>0</v>
      </c>
      <c r="L34" s="37">
        <v>0</v>
      </c>
      <c r="M34" s="62">
        <f t="shared" si="16"/>
        <v>0</v>
      </c>
      <c r="N34" s="61">
        <v>0</v>
      </c>
      <c r="O34" s="37">
        <v>0</v>
      </c>
      <c r="P34" s="62">
        <f t="shared" si="17"/>
        <v>0</v>
      </c>
      <c r="Q34" s="77">
        <f t="shared" si="7"/>
        <v>0</v>
      </c>
      <c r="R34" s="181">
        <f t="shared" si="8"/>
        <v>0</v>
      </c>
      <c r="S34" s="491">
        <f t="shared" si="9"/>
        <v>0</v>
      </c>
      <c r="T34" s="61">
        <f t="shared" si="10"/>
        <v>0</v>
      </c>
      <c r="U34" s="162">
        <f t="shared" si="18"/>
        <v>0</v>
      </c>
      <c r="V34" s="176">
        <f t="shared" si="19"/>
        <v>0</v>
      </c>
      <c r="W34" s="181">
        <f t="shared" si="13"/>
        <v>0</v>
      </c>
      <c r="X34" s="181">
        <f t="shared" si="14"/>
        <v>0</v>
      </c>
      <c r="Y34" s="491">
        <f t="shared" si="15"/>
        <v>0</v>
      </c>
    </row>
    <row r="35" spans="1:25" ht="15">
      <c r="A35" s="39">
        <v>29</v>
      </c>
      <c r="B35" s="152" t="s">
        <v>93</v>
      </c>
      <c r="C35" s="467" t="s">
        <v>94</v>
      </c>
      <c r="D35" s="461">
        <f>'[4]1.1 Plnění rozpočtu HČ'!$D$38</f>
        <v>35925096</v>
      </c>
      <c r="E35" s="461">
        <v>40630967</v>
      </c>
      <c r="F35" s="462">
        <v>204768</v>
      </c>
      <c r="G35" s="476">
        <f t="shared" si="5"/>
        <v>40426199</v>
      </c>
      <c r="H35" s="61">
        <v>46825813</v>
      </c>
      <c r="I35" s="37">
        <v>204768</v>
      </c>
      <c r="J35" s="248">
        <f t="shared" si="6"/>
        <v>46621045</v>
      </c>
      <c r="K35" s="61">
        <v>33051651</v>
      </c>
      <c r="L35" s="37">
        <v>68280</v>
      </c>
      <c r="M35" s="62">
        <f t="shared" si="16"/>
        <v>32983371</v>
      </c>
      <c r="N35" s="61">
        <v>31497390</v>
      </c>
      <c r="O35" s="37">
        <v>0</v>
      </c>
      <c r="P35" s="62">
        <f t="shared" si="17"/>
        <v>31497390</v>
      </c>
      <c r="Q35" s="77">
        <f t="shared" si="7"/>
        <v>-1554261</v>
      </c>
      <c r="R35" s="181">
        <f t="shared" si="8"/>
        <v>-68280</v>
      </c>
      <c r="S35" s="491">
        <f t="shared" si="9"/>
        <v>-1485981</v>
      </c>
      <c r="T35" s="61">
        <f t="shared" si="10"/>
        <v>-15328423</v>
      </c>
      <c r="U35" s="162">
        <f t="shared" si="18"/>
        <v>-204768</v>
      </c>
      <c r="V35" s="176">
        <f t="shared" si="19"/>
        <v>-15123655</v>
      </c>
      <c r="W35" s="181">
        <f t="shared" si="13"/>
        <v>-13774162</v>
      </c>
      <c r="X35" s="181">
        <f t="shared" si="14"/>
        <v>-136488</v>
      </c>
      <c r="Y35" s="491">
        <f t="shared" si="15"/>
        <v>-13637674</v>
      </c>
    </row>
    <row r="36" spans="1:25" ht="15">
      <c r="A36" s="39">
        <v>30</v>
      </c>
      <c r="B36" s="152" t="s">
        <v>95</v>
      </c>
      <c r="C36" s="467" t="s">
        <v>96</v>
      </c>
      <c r="D36" s="461">
        <f>'[4]1.1 Plnění rozpočtu HČ'!$D$39</f>
        <v>0</v>
      </c>
      <c r="E36" s="461">
        <v>0</v>
      </c>
      <c r="F36" s="462">
        <v>0</v>
      </c>
      <c r="G36" s="476">
        <f t="shared" si="5"/>
        <v>0</v>
      </c>
      <c r="H36" s="61">
        <v>0</v>
      </c>
      <c r="I36" s="37"/>
      <c r="J36" s="248">
        <f t="shared" si="6"/>
        <v>0</v>
      </c>
      <c r="K36" s="61">
        <v>0</v>
      </c>
      <c r="L36" s="37">
        <v>0</v>
      </c>
      <c r="M36" s="62">
        <f t="shared" si="16"/>
        <v>0</v>
      </c>
      <c r="N36" s="61">
        <v>0</v>
      </c>
      <c r="O36" s="37">
        <v>0</v>
      </c>
      <c r="P36" s="62">
        <f t="shared" si="17"/>
        <v>0</v>
      </c>
      <c r="Q36" s="77">
        <f t="shared" si="7"/>
        <v>0</v>
      </c>
      <c r="R36" s="181">
        <f t="shared" si="8"/>
        <v>0</v>
      </c>
      <c r="S36" s="491">
        <f t="shared" si="9"/>
        <v>0</v>
      </c>
      <c r="T36" s="61">
        <f t="shared" si="10"/>
        <v>0</v>
      </c>
      <c r="U36" s="162">
        <f t="shared" si="18"/>
        <v>0</v>
      </c>
      <c r="V36" s="176">
        <f t="shared" si="19"/>
        <v>0</v>
      </c>
      <c r="W36" s="181">
        <f t="shared" si="13"/>
        <v>0</v>
      </c>
      <c r="X36" s="181">
        <f t="shared" si="14"/>
        <v>0</v>
      </c>
      <c r="Y36" s="491">
        <f t="shared" si="15"/>
        <v>0</v>
      </c>
    </row>
    <row r="37" spans="1:25" ht="15">
      <c r="A37" s="39">
        <v>31</v>
      </c>
      <c r="B37" s="152" t="s">
        <v>97</v>
      </c>
      <c r="C37" s="467" t="s">
        <v>98</v>
      </c>
      <c r="D37" s="461">
        <f>'[4]1.1 Plnění rozpočtu HČ'!$D$40</f>
        <v>3991036</v>
      </c>
      <c r="E37" s="461">
        <v>2786556</v>
      </c>
      <c r="F37" s="462">
        <v>0</v>
      </c>
      <c r="G37" s="476">
        <f t="shared" si="5"/>
        <v>2786556</v>
      </c>
      <c r="H37" s="61">
        <v>3438057</v>
      </c>
      <c r="I37" s="37"/>
      <c r="J37" s="248">
        <f t="shared" si="6"/>
        <v>3438057</v>
      </c>
      <c r="K37" s="61">
        <v>151048</v>
      </c>
      <c r="L37" s="37">
        <v>0</v>
      </c>
      <c r="M37" s="62">
        <f t="shared" si="16"/>
        <v>151048</v>
      </c>
      <c r="N37" s="61">
        <v>47077</v>
      </c>
      <c r="O37" s="37">
        <v>0</v>
      </c>
      <c r="P37" s="62">
        <f t="shared" si="17"/>
        <v>47077</v>
      </c>
      <c r="Q37" s="77">
        <f t="shared" si="7"/>
        <v>-103971</v>
      </c>
      <c r="R37" s="181">
        <f t="shared" si="8"/>
        <v>0</v>
      </c>
      <c r="S37" s="491">
        <f t="shared" si="9"/>
        <v>-103971</v>
      </c>
      <c r="T37" s="61">
        <f t="shared" si="10"/>
        <v>-3390980</v>
      </c>
      <c r="U37" s="162">
        <f t="shared" si="18"/>
        <v>0</v>
      </c>
      <c r="V37" s="176">
        <f t="shared" si="19"/>
        <v>-3390980</v>
      </c>
      <c r="W37" s="181">
        <f t="shared" si="13"/>
        <v>-3287009</v>
      </c>
      <c r="X37" s="181">
        <f t="shared" si="14"/>
        <v>0</v>
      </c>
      <c r="Y37" s="491">
        <f t="shared" si="15"/>
        <v>-3287009</v>
      </c>
    </row>
    <row r="38" spans="1:25" ht="15">
      <c r="A38" s="39">
        <v>32</v>
      </c>
      <c r="B38" s="152" t="s">
        <v>99</v>
      </c>
      <c r="C38" s="467" t="s">
        <v>100</v>
      </c>
      <c r="D38" s="461">
        <f>'[4]1.1 Plnění rozpočtu HČ'!$D$41</f>
        <v>0</v>
      </c>
      <c r="E38" s="461">
        <v>0</v>
      </c>
      <c r="F38" s="462">
        <v>0</v>
      </c>
      <c r="G38" s="476">
        <f t="shared" si="5"/>
        <v>0</v>
      </c>
      <c r="H38" s="61">
        <v>0</v>
      </c>
      <c r="I38" s="37"/>
      <c r="J38" s="248">
        <f t="shared" si="6"/>
        <v>0</v>
      </c>
      <c r="K38" s="61">
        <v>0</v>
      </c>
      <c r="L38" s="37">
        <v>0</v>
      </c>
      <c r="M38" s="62">
        <f t="shared" si="16"/>
        <v>0</v>
      </c>
      <c r="N38" s="61">
        <v>0</v>
      </c>
      <c r="O38" s="37">
        <v>0</v>
      </c>
      <c r="P38" s="62">
        <f t="shared" si="17"/>
        <v>0</v>
      </c>
      <c r="Q38" s="77">
        <f t="shared" si="7"/>
        <v>0</v>
      </c>
      <c r="R38" s="181">
        <f t="shared" si="8"/>
        <v>0</v>
      </c>
      <c r="S38" s="491">
        <f t="shared" si="9"/>
        <v>0</v>
      </c>
      <c r="T38" s="61">
        <f t="shared" si="10"/>
        <v>0</v>
      </c>
      <c r="U38" s="162">
        <f t="shared" si="18"/>
        <v>0</v>
      </c>
      <c r="V38" s="176">
        <f t="shared" si="19"/>
        <v>0</v>
      </c>
      <c r="W38" s="181">
        <f t="shared" si="13"/>
        <v>0</v>
      </c>
      <c r="X38" s="181">
        <f t="shared" si="14"/>
        <v>0</v>
      </c>
      <c r="Y38" s="491">
        <f t="shared" si="15"/>
        <v>0</v>
      </c>
    </row>
    <row r="39" spans="1:25" ht="15">
      <c r="A39" s="39">
        <v>33</v>
      </c>
      <c r="B39" s="152" t="s">
        <v>101</v>
      </c>
      <c r="C39" s="467" t="s">
        <v>102</v>
      </c>
      <c r="D39" s="461">
        <f>'[4]1.1 Plnění rozpočtu HČ'!$D$42</f>
        <v>0</v>
      </c>
      <c r="E39" s="461">
        <v>0</v>
      </c>
      <c r="F39" s="462">
        <v>0</v>
      </c>
      <c r="G39" s="476">
        <f t="shared" si="5"/>
        <v>0</v>
      </c>
      <c r="H39" s="61">
        <v>0</v>
      </c>
      <c r="I39" s="37"/>
      <c r="J39" s="248">
        <f t="shared" si="6"/>
        <v>0</v>
      </c>
      <c r="K39" s="61">
        <v>0</v>
      </c>
      <c r="L39" s="37">
        <v>0</v>
      </c>
      <c r="M39" s="62">
        <f t="shared" si="16"/>
        <v>0</v>
      </c>
      <c r="N39" s="61">
        <v>0</v>
      </c>
      <c r="O39" s="37">
        <v>0</v>
      </c>
      <c r="P39" s="62">
        <f t="shared" si="17"/>
        <v>0</v>
      </c>
      <c r="Q39" s="77">
        <f t="shared" si="7"/>
        <v>0</v>
      </c>
      <c r="R39" s="181">
        <f t="shared" si="8"/>
        <v>0</v>
      </c>
      <c r="S39" s="491">
        <f t="shared" si="9"/>
        <v>0</v>
      </c>
      <c r="T39" s="61">
        <f t="shared" si="10"/>
        <v>0</v>
      </c>
      <c r="U39" s="162">
        <f t="shared" si="18"/>
        <v>0</v>
      </c>
      <c r="V39" s="176">
        <f t="shared" si="19"/>
        <v>0</v>
      </c>
      <c r="W39" s="181">
        <f t="shared" si="13"/>
        <v>0</v>
      </c>
      <c r="X39" s="181">
        <f t="shared" si="14"/>
        <v>0</v>
      </c>
      <c r="Y39" s="491">
        <f t="shared" si="15"/>
        <v>0</v>
      </c>
    </row>
    <row r="40" spans="1:25" ht="15">
      <c r="A40" s="39">
        <v>34</v>
      </c>
      <c r="B40" s="152" t="s">
        <v>103</v>
      </c>
      <c r="C40" s="467" t="s">
        <v>104</v>
      </c>
      <c r="D40" s="461">
        <f>'[4]1.1 Plnění rozpočtu HČ'!$D$43</f>
        <v>1325222.5</v>
      </c>
      <c r="E40" s="461">
        <v>415932</v>
      </c>
      <c r="F40" s="462">
        <v>0</v>
      </c>
      <c r="G40" s="476">
        <f t="shared" si="5"/>
        <v>415932</v>
      </c>
      <c r="H40" s="61">
        <v>-569422.7</v>
      </c>
      <c r="I40" s="37"/>
      <c r="J40" s="248">
        <f t="shared" si="6"/>
        <v>-569422.7</v>
      </c>
      <c r="K40" s="61">
        <v>-413317</v>
      </c>
      <c r="L40" s="37">
        <v>0</v>
      </c>
      <c r="M40" s="62">
        <f t="shared" si="16"/>
        <v>-413317</v>
      </c>
      <c r="N40" s="61">
        <v>42195</v>
      </c>
      <c r="O40" s="37">
        <v>0</v>
      </c>
      <c r="P40" s="62">
        <f t="shared" si="17"/>
        <v>42195</v>
      </c>
      <c r="Q40" s="77">
        <f t="shared" si="7"/>
        <v>455512</v>
      </c>
      <c r="R40" s="181">
        <f t="shared" si="8"/>
        <v>0</v>
      </c>
      <c r="S40" s="491">
        <f t="shared" si="9"/>
        <v>455512</v>
      </c>
      <c r="T40" s="61">
        <f t="shared" si="10"/>
        <v>611617.7</v>
      </c>
      <c r="U40" s="162">
        <f t="shared" si="18"/>
        <v>0</v>
      </c>
      <c r="V40" s="176">
        <f t="shared" si="19"/>
        <v>611617.7</v>
      </c>
      <c r="W40" s="181">
        <f t="shared" si="13"/>
        <v>156105.69999999995</v>
      </c>
      <c r="X40" s="181">
        <f t="shared" si="14"/>
        <v>0</v>
      </c>
      <c r="Y40" s="491">
        <f t="shared" si="15"/>
        <v>156105.69999999995</v>
      </c>
    </row>
    <row r="41" spans="1:25" ht="15">
      <c r="A41" s="39">
        <v>35</v>
      </c>
      <c r="B41" s="152" t="s">
        <v>105</v>
      </c>
      <c r="C41" s="467" t="s">
        <v>106</v>
      </c>
      <c r="D41" s="461">
        <f>'[4]1.1 Plnění rozpočtu HČ'!$D$44</f>
        <v>0</v>
      </c>
      <c r="E41" s="461">
        <v>3207</v>
      </c>
      <c r="F41" s="462">
        <v>0</v>
      </c>
      <c r="G41" s="476">
        <f t="shared" si="5"/>
        <v>3207</v>
      </c>
      <c r="H41" s="61">
        <v>649571.8</v>
      </c>
      <c r="I41" s="37"/>
      <c r="J41" s="248">
        <f t="shared" si="6"/>
        <v>649571.8</v>
      </c>
      <c r="K41" s="61">
        <v>418925</v>
      </c>
      <c r="L41" s="37">
        <v>0</v>
      </c>
      <c r="M41" s="62">
        <f t="shared" si="16"/>
        <v>418925</v>
      </c>
      <c r="N41" s="61">
        <v>7721</v>
      </c>
      <c r="O41" s="37">
        <v>0</v>
      </c>
      <c r="P41" s="62">
        <f t="shared" si="17"/>
        <v>7721</v>
      </c>
      <c r="Q41" s="77">
        <f t="shared" si="7"/>
        <v>-411204</v>
      </c>
      <c r="R41" s="181">
        <f t="shared" si="8"/>
        <v>0</v>
      </c>
      <c r="S41" s="491">
        <f t="shared" si="9"/>
        <v>-411204</v>
      </c>
      <c r="T41" s="61">
        <f t="shared" si="10"/>
        <v>-641850.8</v>
      </c>
      <c r="U41" s="162">
        <f t="shared" si="18"/>
        <v>0</v>
      </c>
      <c r="V41" s="176">
        <f t="shared" si="19"/>
        <v>-641850.8</v>
      </c>
      <c r="W41" s="181">
        <f t="shared" si="13"/>
        <v>-230646.80000000005</v>
      </c>
      <c r="X41" s="181">
        <f t="shared" si="14"/>
        <v>0</v>
      </c>
      <c r="Y41" s="491">
        <f t="shared" si="15"/>
        <v>-230646.80000000005</v>
      </c>
    </row>
    <row r="42" spans="1:25" ht="15">
      <c r="A42" s="39">
        <v>36</v>
      </c>
      <c r="B42" s="152" t="s">
        <v>107</v>
      </c>
      <c r="C42" s="467" t="s">
        <v>108</v>
      </c>
      <c r="D42" s="461">
        <f>'[4]1.1 Plnění rozpočtu HČ'!$D$45</f>
        <v>4948474.21</v>
      </c>
      <c r="E42" s="461">
        <v>9070278</v>
      </c>
      <c r="F42" s="462">
        <v>3840837</v>
      </c>
      <c r="G42" s="476">
        <f t="shared" si="5"/>
        <v>5229441</v>
      </c>
      <c r="H42" s="61">
        <v>3247436.86</v>
      </c>
      <c r="I42" s="37">
        <v>316986.01</v>
      </c>
      <c r="J42" s="248">
        <f t="shared" si="6"/>
        <v>2930450.8499999996</v>
      </c>
      <c r="K42" s="61">
        <v>2450294</v>
      </c>
      <c r="L42" s="37">
        <v>307241</v>
      </c>
      <c r="M42" s="62">
        <f t="shared" si="16"/>
        <v>2143053</v>
      </c>
      <c r="N42" s="61">
        <v>6731982</v>
      </c>
      <c r="O42" s="37">
        <v>3513720</v>
      </c>
      <c r="P42" s="62">
        <f t="shared" si="17"/>
        <v>3218262</v>
      </c>
      <c r="Q42" s="77">
        <f t="shared" si="7"/>
        <v>4281688</v>
      </c>
      <c r="R42" s="181">
        <f t="shared" si="8"/>
        <v>3206479</v>
      </c>
      <c r="S42" s="491">
        <f t="shared" si="9"/>
        <v>1075209</v>
      </c>
      <c r="T42" s="61">
        <f t="shared" si="10"/>
        <v>3484545.14</v>
      </c>
      <c r="U42" s="162">
        <f t="shared" si="18"/>
        <v>3196733.99</v>
      </c>
      <c r="V42" s="176">
        <f t="shared" si="19"/>
        <v>287811.1500000004</v>
      </c>
      <c r="W42" s="181">
        <f t="shared" si="13"/>
        <v>-797142.8599999999</v>
      </c>
      <c r="X42" s="181">
        <f t="shared" si="14"/>
        <v>-9745.01000000001</v>
      </c>
      <c r="Y42" s="491">
        <f t="shared" si="15"/>
        <v>-787397.8499999996</v>
      </c>
    </row>
    <row r="43" spans="1:25" ht="15">
      <c r="A43" s="39">
        <v>37</v>
      </c>
      <c r="B43" s="152" t="s">
        <v>109</v>
      </c>
      <c r="C43" s="467" t="s">
        <v>110</v>
      </c>
      <c r="D43" s="461">
        <f>'[4]1.1 Plnění rozpočtu HČ'!$D$46</f>
        <v>23099393.12</v>
      </c>
      <c r="E43" s="461">
        <v>28334846</v>
      </c>
      <c r="F43" s="462">
        <v>1352739</v>
      </c>
      <c r="G43" s="476">
        <f t="shared" si="5"/>
        <v>26982107</v>
      </c>
      <c r="H43" s="61">
        <v>8593564.34</v>
      </c>
      <c r="I43" s="37">
        <v>19656</v>
      </c>
      <c r="J43" s="248">
        <f t="shared" si="6"/>
        <v>8573908.34</v>
      </c>
      <c r="K43" s="61">
        <v>8692113</v>
      </c>
      <c r="L43" s="37">
        <v>17024</v>
      </c>
      <c r="M43" s="62">
        <f t="shared" si="16"/>
        <v>8675089</v>
      </c>
      <c r="N43" s="61">
        <v>8976991</v>
      </c>
      <c r="O43" s="37">
        <v>16988</v>
      </c>
      <c r="P43" s="62">
        <f t="shared" si="17"/>
        <v>8960003</v>
      </c>
      <c r="Q43" s="77">
        <f t="shared" si="7"/>
        <v>284878</v>
      </c>
      <c r="R43" s="181">
        <f t="shared" si="8"/>
        <v>-36</v>
      </c>
      <c r="S43" s="491">
        <f t="shared" si="9"/>
        <v>284914</v>
      </c>
      <c r="T43" s="61">
        <f t="shared" si="10"/>
        <v>383426.66000000015</v>
      </c>
      <c r="U43" s="162">
        <f t="shared" si="18"/>
        <v>-2668</v>
      </c>
      <c r="V43" s="176">
        <f t="shared" si="19"/>
        <v>386094.66000000015</v>
      </c>
      <c r="W43" s="181">
        <f t="shared" si="13"/>
        <v>98548.66000000015</v>
      </c>
      <c r="X43" s="181">
        <f t="shared" si="14"/>
        <v>-2632</v>
      </c>
      <c r="Y43" s="491">
        <f t="shared" si="15"/>
        <v>101180.66000000015</v>
      </c>
    </row>
    <row r="44" spans="1:25" s="100" customFormat="1" ht="15.75">
      <c r="A44" s="51">
        <v>38</v>
      </c>
      <c r="B44" s="153" t="s">
        <v>251</v>
      </c>
      <c r="C44" s="468"/>
      <c r="D44" s="477">
        <f>SUM(D45:D49)</f>
        <v>758981.12</v>
      </c>
      <c r="E44" s="477">
        <f>SUM(E45:E49)</f>
        <v>2058815</v>
      </c>
      <c r="F44" s="477">
        <f>SUM(F45:F49)</f>
        <v>0</v>
      </c>
      <c r="G44" s="478">
        <f>SUM(G45:G49)</f>
        <v>2058815</v>
      </c>
      <c r="H44" s="59">
        <f aca="true" t="shared" si="20" ref="H44:P44">SUM(H45:H49)</f>
        <v>597352.44</v>
      </c>
      <c r="I44" s="59">
        <f t="shared" si="20"/>
        <v>0</v>
      </c>
      <c r="J44" s="60">
        <f t="shared" si="20"/>
        <v>597352.44</v>
      </c>
      <c r="K44" s="59">
        <f t="shared" si="20"/>
        <v>137124</v>
      </c>
      <c r="L44" s="53"/>
      <c r="M44" s="60">
        <f t="shared" si="20"/>
        <v>137124</v>
      </c>
      <c r="N44" s="477">
        <f>SUM(N45:N49)</f>
        <v>62467</v>
      </c>
      <c r="O44" s="163">
        <f t="shared" si="20"/>
        <v>0</v>
      </c>
      <c r="P44" s="60">
        <f t="shared" si="20"/>
        <v>62467</v>
      </c>
      <c r="Q44" s="72">
        <f>+N44-K44</f>
        <v>-74657</v>
      </c>
      <c r="R44" s="161">
        <f>+O44-L44</f>
        <v>0</v>
      </c>
      <c r="S44" s="175">
        <f>+P44-M44</f>
        <v>-74657</v>
      </c>
      <c r="T44" s="59">
        <f t="shared" si="10"/>
        <v>-534885.44</v>
      </c>
      <c r="U44" s="163">
        <f t="shared" si="18"/>
        <v>0</v>
      </c>
      <c r="V44" s="177">
        <f t="shared" si="19"/>
        <v>-534885.44</v>
      </c>
      <c r="W44" s="161">
        <f>+K44-H44</f>
        <v>-460228.43999999994</v>
      </c>
      <c r="X44" s="161">
        <f>+L44-I44</f>
        <v>0</v>
      </c>
      <c r="Y44" s="175">
        <f>+M44-J44</f>
        <v>-460228.43999999994</v>
      </c>
    </row>
    <row r="45" spans="1:25" ht="15">
      <c r="A45" s="39">
        <v>39</v>
      </c>
      <c r="B45" s="152" t="s">
        <v>111</v>
      </c>
      <c r="C45" s="467" t="s">
        <v>112</v>
      </c>
      <c r="D45" s="461">
        <f>'[4]1.1 Plnění rozpočtu HČ'!$D$48</f>
        <v>0</v>
      </c>
      <c r="E45" s="461">
        <v>0</v>
      </c>
      <c r="F45" s="462">
        <v>0</v>
      </c>
      <c r="G45" s="476">
        <f aca="true" t="shared" si="21" ref="G45:G52">+E45-F45</f>
        <v>0</v>
      </c>
      <c r="H45" s="61">
        <v>0</v>
      </c>
      <c r="I45" s="247">
        <v>0</v>
      </c>
      <c r="J45" s="248">
        <f aca="true" t="shared" si="22" ref="J45:J52">+H45-I45</f>
        <v>0</v>
      </c>
      <c r="K45" s="61">
        <v>0</v>
      </c>
      <c r="L45" s="37"/>
      <c r="M45" s="62">
        <f t="shared" si="16"/>
        <v>0</v>
      </c>
      <c r="N45" s="61">
        <v>0</v>
      </c>
      <c r="O45" s="37">
        <v>0</v>
      </c>
      <c r="P45" s="62">
        <f t="shared" si="17"/>
        <v>0</v>
      </c>
      <c r="Q45" s="77">
        <f aca="true" t="shared" si="23" ref="Q45:Q52">+N45-K45</f>
        <v>0</v>
      </c>
      <c r="R45" s="181">
        <f aca="true" t="shared" si="24" ref="R45:R52">+O45-L45</f>
        <v>0</v>
      </c>
      <c r="S45" s="491">
        <f aca="true" t="shared" si="25" ref="S45:S52">+P45-M45</f>
        <v>0</v>
      </c>
      <c r="T45" s="61">
        <f t="shared" si="10"/>
        <v>0</v>
      </c>
      <c r="U45" s="162">
        <f t="shared" si="18"/>
        <v>0</v>
      </c>
      <c r="V45" s="176">
        <f t="shared" si="19"/>
        <v>0</v>
      </c>
      <c r="W45" s="181">
        <f aca="true" t="shared" si="26" ref="W45:W52">+K45-H45</f>
        <v>0</v>
      </c>
      <c r="X45" s="181">
        <f aca="true" t="shared" si="27" ref="X45:X52">+L45-I45</f>
        <v>0</v>
      </c>
      <c r="Y45" s="491">
        <f aca="true" t="shared" si="28" ref="Y45:Y52">+M45-J45</f>
        <v>0</v>
      </c>
    </row>
    <row r="46" spans="1:25" ht="15">
      <c r="A46" s="39">
        <v>40</v>
      </c>
      <c r="B46" s="152" t="s">
        <v>113</v>
      </c>
      <c r="C46" s="467" t="s">
        <v>114</v>
      </c>
      <c r="D46" s="461">
        <f>'[4]1.1 Plnění rozpočtu HČ'!$D$49</f>
        <v>0</v>
      </c>
      <c r="E46" s="461">
        <v>0</v>
      </c>
      <c r="F46" s="462">
        <v>0</v>
      </c>
      <c r="G46" s="476">
        <f t="shared" si="21"/>
        <v>0</v>
      </c>
      <c r="H46" s="61">
        <v>0</v>
      </c>
      <c r="I46" s="247">
        <v>0</v>
      </c>
      <c r="J46" s="248">
        <f t="shared" si="22"/>
        <v>0</v>
      </c>
      <c r="K46" s="61">
        <v>0</v>
      </c>
      <c r="L46" s="37"/>
      <c r="M46" s="62">
        <f t="shared" si="16"/>
        <v>0</v>
      </c>
      <c r="N46" s="61">
        <v>0</v>
      </c>
      <c r="O46" s="37">
        <v>0</v>
      </c>
      <c r="P46" s="62">
        <f t="shared" si="17"/>
        <v>0</v>
      </c>
      <c r="Q46" s="77">
        <f t="shared" si="23"/>
        <v>0</v>
      </c>
      <c r="R46" s="181">
        <f t="shared" si="24"/>
        <v>0</v>
      </c>
      <c r="S46" s="491">
        <f t="shared" si="25"/>
        <v>0</v>
      </c>
      <c r="T46" s="61">
        <f t="shared" si="10"/>
        <v>0</v>
      </c>
      <c r="U46" s="162">
        <f t="shared" si="18"/>
        <v>0</v>
      </c>
      <c r="V46" s="176">
        <f t="shared" si="19"/>
        <v>0</v>
      </c>
      <c r="W46" s="181">
        <f t="shared" si="26"/>
        <v>0</v>
      </c>
      <c r="X46" s="181">
        <f t="shared" si="27"/>
        <v>0</v>
      </c>
      <c r="Y46" s="491">
        <f t="shared" si="28"/>
        <v>0</v>
      </c>
    </row>
    <row r="47" spans="1:25" ht="15">
      <c r="A47" s="39">
        <v>41</v>
      </c>
      <c r="B47" s="152" t="s">
        <v>115</v>
      </c>
      <c r="C47" s="467" t="s">
        <v>116</v>
      </c>
      <c r="D47" s="461">
        <f>'[4]1.1 Plnění rozpočtu HČ'!$D$50</f>
        <v>758981.12</v>
      </c>
      <c r="E47" s="461">
        <v>2058815</v>
      </c>
      <c r="F47" s="462">
        <v>0</v>
      </c>
      <c r="G47" s="476">
        <f t="shared" si="21"/>
        <v>2058815</v>
      </c>
      <c r="H47" s="61">
        <v>380665.93</v>
      </c>
      <c r="I47" s="247">
        <v>0</v>
      </c>
      <c r="J47" s="248">
        <f t="shared" si="22"/>
        <v>380665.93</v>
      </c>
      <c r="K47" s="61">
        <v>130675</v>
      </c>
      <c r="L47" s="37"/>
      <c r="M47" s="62">
        <f t="shared" si="16"/>
        <v>130675</v>
      </c>
      <c r="N47" s="61">
        <v>57315</v>
      </c>
      <c r="O47" s="37">
        <v>0</v>
      </c>
      <c r="P47" s="62">
        <f t="shared" si="17"/>
        <v>57315</v>
      </c>
      <c r="Q47" s="77">
        <f t="shared" si="23"/>
        <v>-73360</v>
      </c>
      <c r="R47" s="181">
        <f t="shared" si="24"/>
        <v>0</v>
      </c>
      <c r="S47" s="491">
        <f t="shared" si="25"/>
        <v>-73360</v>
      </c>
      <c r="T47" s="61">
        <f t="shared" si="10"/>
        <v>-323350.93</v>
      </c>
      <c r="U47" s="162">
        <f t="shared" si="18"/>
        <v>0</v>
      </c>
      <c r="V47" s="176">
        <f t="shared" si="19"/>
        <v>-323350.93</v>
      </c>
      <c r="W47" s="181">
        <f t="shared" si="26"/>
        <v>-249990.93</v>
      </c>
      <c r="X47" s="181">
        <f t="shared" si="27"/>
        <v>0</v>
      </c>
      <c r="Y47" s="491">
        <f t="shared" si="28"/>
        <v>-249990.93</v>
      </c>
    </row>
    <row r="48" spans="1:25" ht="15">
      <c r="A48" s="39">
        <v>42</v>
      </c>
      <c r="B48" s="152" t="s">
        <v>117</v>
      </c>
      <c r="C48" s="467" t="s">
        <v>118</v>
      </c>
      <c r="D48" s="461">
        <f>'[4]1.1 Plnění rozpočtu HČ'!$D$51</f>
        <v>0</v>
      </c>
      <c r="E48" s="461">
        <v>0</v>
      </c>
      <c r="F48" s="462">
        <v>0</v>
      </c>
      <c r="G48" s="476">
        <f t="shared" si="21"/>
        <v>0</v>
      </c>
      <c r="H48" s="61">
        <v>215107</v>
      </c>
      <c r="I48" s="247">
        <v>0</v>
      </c>
      <c r="J48" s="248">
        <f t="shared" si="22"/>
        <v>215107</v>
      </c>
      <c r="K48" s="61">
        <v>0</v>
      </c>
      <c r="L48" s="37"/>
      <c r="M48" s="62">
        <f t="shared" si="16"/>
        <v>0</v>
      </c>
      <c r="N48" s="61">
        <v>0</v>
      </c>
      <c r="O48" s="37">
        <v>0</v>
      </c>
      <c r="P48" s="62">
        <f t="shared" si="17"/>
        <v>0</v>
      </c>
      <c r="Q48" s="77">
        <f t="shared" si="23"/>
        <v>0</v>
      </c>
      <c r="R48" s="181">
        <f t="shared" si="24"/>
        <v>0</v>
      </c>
      <c r="S48" s="491">
        <f t="shared" si="25"/>
        <v>0</v>
      </c>
      <c r="T48" s="61">
        <f t="shared" si="10"/>
        <v>-215107</v>
      </c>
      <c r="U48" s="162">
        <f t="shared" si="18"/>
        <v>0</v>
      </c>
      <c r="V48" s="176">
        <f t="shared" si="19"/>
        <v>-215107</v>
      </c>
      <c r="W48" s="181">
        <f t="shared" si="26"/>
        <v>-215107</v>
      </c>
      <c r="X48" s="181">
        <f t="shared" si="27"/>
        <v>0</v>
      </c>
      <c r="Y48" s="491">
        <f t="shared" si="28"/>
        <v>-215107</v>
      </c>
    </row>
    <row r="49" spans="1:25" ht="15">
      <c r="A49" s="39">
        <v>43</v>
      </c>
      <c r="B49" s="152" t="s">
        <v>119</v>
      </c>
      <c r="C49" s="467" t="s">
        <v>120</v>
      </c>
      <c r="D49" s="461">
        <f>'[4]1.1 Plnění rozpočtu HČ'!$D$52</f>
        <v>0</v>
      </c>
      <c r="E49" s="461">
        <v>0</v>
      </c>
      <c r="F49" s="462">
        <v>0</v>
      </c>
      <c r="G49" s="476">
        <f t="shared" si="21"/>
        <v>0</v>
      </c>
      <c r="H49" s="61">
        <v>1579.51</v>
      </c>
      <c r="I49" s="247">
        <v>0</v>
      </c>
      <c r="J49" s="248">
        <f t="shared" si="22"/>
        <v>1579.51</v>
      </c>
      <c r="K49" s="61">
        <v>6449</v>
      </c>
      <c r="L49" s="37"/>
      <c r="M49" s="62">
        <f t="shared" si="16"/>
        <v>6449</v>
      </c>
      <c r="N49" s="61">
        <v>5152</v>
      </c>
      <c r="O49" s="37"/>
      <c r="P49" s="62">
        <f t="shared" si="17"/>
        <v>5152</v>
      </c>
      <c r="Q49" s="77">
        <f t="shared" si="23"/>
        <v>-1297</v>
      </c>
      <c r="R49" s="181">
        <f t="shared" si="24"/>
        <v>0</v>
      </c>
      <c r="S49" s="491">
        <f t="shared" si="25"/>
        <v>-1297</v>
      </c>
      <c r="T49" s="61">
        <f t="shared" si="10"/>
        <v>3572.49</v>
      </c>
      <c r="U49" s="162">
        <f t="shared" si="18"/>
        <v>0</v>
      </c>
      <c r="V49" s="176">
        <f t="shared" si="19"/>
        <v>3572.49</v>
      </c>
      <c r="W49" s="181">
        <f t="shared" si="26"/>
        <v>4869.49</v>
      </c>
      <c r="X49" s="181">
        <f t="shared" si="27"/>
        <v>0</v>
      </c>
      <c r="Y49" s="491">
        <f t="shared" si="28"/>
        <v>4869.49</v>
      </c>
    </row>
    <row r="50" spans="1:25" s="100" customFormat="1" ht="15.75">
      <c r="A50" s="51">
        <v>44</v>
      </c>
      <c r="B50" s="153" t="s">
        <v>252</v>
      </c>
      <c r="C50" s="468"/>
      <c r="D50" s="477">
        <f>SUM(D51:D52)</f>
        <v>0</v>
      </c>
      <c r="E50" s="477">
        <f>SUM(E51:E52)</f>
        <v>0</v>
      </c>
      <c r="F50" s="163"/>
      <c r="G50" s="478">
        <f>SUM(G51:G52)</f>
        <v>0</v>
      </c>
      <c r="H50" s="59">
        <f>SUM(H51:H52)</f>
        <v>0</v>
      </c>
      <c r="I50" s="163"/>
      <c r="J50" s="60">
        <f aca="true" t="shared" si="29" ref="J50:P50">SUM(J51:J52)</f>
        <v>0</v>
      </c>
      <c r="K50" s="477">
        <f t="shared" si="29"/>
        <v>0</v>
      </c>
      <c r="L50" s="163">
        <f t="shared" si="29"/>
        <v>0</v>
      </c>
      <c r="M50" s="60">
        <f t="shared" si="29"/>
        <v>0</v>
      </c>
      <c r="N50" s="59">
        <f t="shared" si="29"/>
        <v>0</v>
      </c>
      <c r="O50" s="163">
        <f>SUM(O51:O52)</f>
        <v>0</v>
      </c>
      <c r="P50" s="60">
        <f t="shared" si="29"/>
        <v>0</v>
      </c>
      <c r="Q50" s="77">
        <f t="shared" si="23"/>
        <v>0</v>
      </c>
      <c r="R50" s="181">
        <f t="shared" si="24"/>
        <v>0</v>
      </c>
      <c r="S50" s="491">
        <f t="shared" si="25"/>
        <v>0</v>
      </c>
      <c r="T50" s="59">
        <f t="shared" si="10"/>
        <v>0</v>
      </c>
      <c r="U50" s="163">
        <f t="shared" si="18"/>
        <v>0</v>
      </c>
      <c r="V50" s="177">
        <f t="shared" si="19"/>
        <v>0</v>
      </c>
      <c r="W50" s="181">
        <f t="shared" si="26"/>
        <v>0</v>
      </c>
      <c r="X50" s="181">
        <f t="shared" si="27"/>
        <v>0</v>
      </c>
      <c r="Y50" s="491">
        <f t="shared" si="28"/>
        <v>0</v>
      </c>
    </row>
    <row r="51" spans="1:25" ht="30">
      <c r="A51" s="39">
        <v>45</v>
      </c>
      <c r="B51" s="152" t="s">
        <v>121</v>
      </c>
      <c r="C51" s="467" t="s">
        <v>122</v>
      </c>
      <c r="D51" s="461">
        <f>'[4]1.1 Plnění rozpočtu HČ'!$D$54</f>
        <v>0</v>
      </c>
      <c r="E51" s="461">
        <v>0</v>
      </c>
      <c r="F51" s="162">
        <v>0</v>
      </c>
      <c r="G51" s="476">
        <f t="shared" si="21"/>
        <v>0</v>
      </c>
      <c r="H51" s="61">
        <v>0</v>
      </c>
      <c r="I51" s="162">
        <v>0</v>
      </c>
      <c r="J51" s="248">
        <f t="shared" si="22"/>
        <v>0</v>
      </c>
      <c r="K51" s="61">
        <v>0</v>
      </c>
      <c r="L51" s="37"/>
      <c r="M51" s="62">
        <f t="shared" si="16"/>
        <v>0</v>
      </c>
      <c r="N51" s="61">
        <v>0</v>
      </c>
      <c r="O51" s="37">
        <v>0</v>
      </c>
      <c r="P51" s="62">
        <f t="shared" si="17"/>
        <v>0</v>
      </c>
      <c r="Q51" s="77">
        <f t="shared" si="23"/>
        <v>0</v>
      </c>
      <c r="R51" s="181">
        <f t="shared" si="24"/>
        <v>0</v>
      </c>
      <c r="S51" s="491">
        <f t="shared" si="25"/>
        <v>0</v>
      </c>
      <c r="T51" s="61">
        <f t="shared" si="10"/>
        <v>0</v>
      </c>
      <c r="U51" s="162">
        <f t="shared" si="18"/>
        <v>0</v>
      </c>
      <c r="V51" s="176">
        <f t="shared" si="19"/>
        <v>0</v>
      </c>
      <c r="W51" s="181">
        <f t="shared" si="26"/>
        <v>0</v>
      </c>
      <c r="X51" s="181">
        <f t="shared" si="27"/>
        <v>0</v>
      </c>
      <c r="Y51" s="491">
        <f t="shared" si="28"/>
        <v>0</v>
      </c>
    </row>
    <row r="52" spans="1:25" ht="30">
      <c r="A52" s="39">
        <v>46</v>
      </c>
      <c r="B52" s="152" t="s">
        <v>123</v>
      </c>
      <c r="C52" s="467" t="s">
        <v>124</v>
      </c>
      <c r="D52" s="461">
        <f>'[4]1.1 Plnění rozpočtu HČ'!$D$55</f>
        <v>0</v>
      </c>
      <c r="E52" s="461">
        <v>0</v>
      </c>
      <c r="F52" s="162">
        <v>0</v>
      </c>
      <c r="G52" s="476">
        <f t="shared" si="21"/>
        <v>0</v>
      </c>
      <c r="H52" s="61">
        <v>0</v>
      </c>
      <c r="I52" s="162">
        <v>0</v>
      </c>
      <c r="J52" s="248">
        <f t="shared" si="22"/>
        <v>0</v>
      </c>
      <c r="K52" s="61">
        <v>0</v>
      </c>
      <c r="L52" s="37"/>
      <c r="M52" s="62">
        <f t="shared" si="16"/>
        <v>0</v>
      </c>
      <c r="N52" s="61">
        <v>0</v>
      </c>
      <c r="O52" s="37">
        <v>0</v>
      </c>
      <c r="P52" s="62">
        <f t="shared" si="17"/>
        <v>0</v>
      </c>
      <c r="Q52" s="77">
        <f t="shared" si="23"/>
        <v>0</v>
      </c>
      <c r="R52" s="181">
        <f t="shared" si="24"/>
        <v>0</v>
      </c>
      <c r="S52" s="491">
        <f t="shared" si="25"/>
        <v>0</v>
      </c>
      <c r="T52" s="61">
        <f t="shared" si="10"/>
        <v>0</v>
      </c>
      <c r="U52" s="162">
        <f t="shared" si="18"/>
        <v>0</v>
      </c>
      <c r="V52" s="176">
        <f t="shared" si="19"/>
        <v>0</v>
      </c>
      <c r="W52" s="181">
        <f t="shared" si="26"/>
        <v>0</v>
      </c>
      <c r="X52" s="181">
        <f t="shared" si="27"/>
        <v>0</v>
      </c>
      <c r="Y52" s="491">
        <f t="shared" si="28"/>
        <v>0</v>
      </c>
    </row>
    <row r="53" spans="1:25" s="100" customFormat="1" ht="15.75">
      <c r="A53" s="51">
        <v>47</v>
      </c>
      <c r="B53" s="153" t="s">
        <v>253</v>
      </c>
      <c r="C53" s="468"/>
      <c r="D53" s="477">
        <f>+D54+D55</f>
        <v>11071670.23</v>
      </c>
      <c r="E53" s="477">
        <f>+E54+E55</f>
        <v>8264109</v>
      </c>
      <c r="F53" s="163"/>
      <c r="G53" s="478">
        <f>+G54+G55</f>
        <v>8263781</v>
      </c>
      <c r="H53" s="59">
        <f>+H54+H55</f>
        <v>6574592.57</v>
      </c>
      <c r="I53" s="163"/>
      <c r="J53" s="60">
        <f>+J54+J55</f>
        <v>6574578.57</v>
      </c>
      <c r="K53" s="59">
        <f>+K54+K55</f>
        <v>7825958</v>
      </c>
      <c r="L53" s="59">
        <f>+L54+L55</f>
        <v>0</v>
      </c>
      <c r="M53" s="60">
        <f>SUM(M54:M55)</f>
        <v>7825958</v>
      </c>
      <c r="N53" s="59">
        <f>SUM(N54:N55)</f>
        <v>3963105</v>
      </c>
      <c r="O53" s="59">
        <f>SUM(O54:O55)</f>
        <v>0</v>
      </c>
      <c r="P53" s="60">
        <f>SUM(P54:P55)</f>
        <v>3963105</v>
      </c>
      <c r="Q53" s="72">
        <f>+N53-K53</f>
        <v>-3862853</v>
      </c>
      <c r="R53" s="161">
        <f>+O53-L53</f>
        <v>0</v>
      </c>
      <c r="S53" s="175">
        <f>+P53-M53</f>
        <v>-3862853</v>
      </c>
      <c r="T53" s="59">
        <f t="shared" si="10"/>
        <v>-2611487.5700000003</v>
      </c>
      <c r="U53" s="163">
        <f t="shared" si="18"/>
        <v>0</v>
      </c>
      <c r="V53" s="177">
        <f t="shared" si="19"/>
        <v>-2611473.5700000003</v>
      </c>
      <c r="W53" s="161">
        <f>+K53-H53</f>
        <v>1251365.4299999997</v>
      </c>
      <c r="X53" s="161">
        <f>+L53-I53</f>
        <v>0</v>
      </c>
      <c r="Y53" s="175">
        <f>+M53-J53</f>
        <v>1251379.4299999997</v>
      </c>
    </row>
    <row r="54" spans="1:25" ht="15">
      <c r="A54" s="39">
        <v>48</v>
      </c>
      <c r="B54" s="152" t="s">
        <v>125</v>
      </c>
      <c r="C54" s="467" t="s">
        <v>126</v>
      </c>
      <c r="D54" s="461">
        <f>'[4]1.1 Plnění rozpočtu HČ'!$D$57</f>
        <v>10260419.23</v>
      </c>
      <c r="E54" s="461">
        <v>8809019</v>
      </c>
      <c r="F54" s="462">
        <v>328</v>
      </c>
      <c r="G54" s="476">
        <f>+E54-F54</f>
        <v>8808691</v>
      </c>
      <c r="H54" s="61">
        <v>6146269.57</v>
      </c>
      <c r="I54" s="37">
        <v>14</v>
      </c>
      <c r="J54" s="248">
        <f>+H54-I54</f>
        <v>6146255.57</v>
      </c>
      <c r="K54" s="61">
        <v>7696054</v>
      </c>
      <c r="L54" s="37"/>
      <c r="M54" s="62">
        <f t="shared" si="16"/>
        <v>7696054</v>
      </c>
      <c r="N54" s="61">
        <v>3117663</v>
      </c>
      <c r="O54" s="37">
        <v>0</v>
      </c>
      <c r="P54" s="62">
        <f t="shared" si="17"/>
        <v>3117663</v>
      </c>
      <c r="Q54" s="77">
        <f>+N54-K54</f>
        <v>-4578391</v>
      </c>
      <c r="R54" s="181">
        <f>+O54-L54</f>
        <v>0</v>
      </c>
      <c r="S54" s="491">
        <f>+P54-M54</f>
        <v>-4578391</v>
      </c>
      <c r="T54" s="61">
        <f t="shared" si="10"/>
        <v>-3028606.5700000003</v>
      </c>
      <c r="U54" s="162">
        <f t="shared" si="18"/>
        <v>-14</v>
      </c>
      <c r="V54" s="176">
        <f t="shared" si="19"/>
        <v>-3028592.5700000003</v>
      </c>
      <c r="W54" s="181">
        <f>+K54-H54</f>
        <v>1549784.4299999997</v>
      </c>
      <c r="X54" s="181">
        <f>+L54-I54</f>
        <v>-14</v>
      </c>
      <c r="Y54" s="491">
        <f>+M54-J54</f>
        <v>1549798.4299999997</v>
      </c>
    </row>
    <row r="55" spans="1:25" ht="15.75" thickBot="1">
      <c r="A55" s="40">
        <v>49</v>
      </c>
      <c r="B55" s="154" t="s">
        <v>127</v>
      </c>
      <c r="C55" s="469" t="s">
        <v>128</v>
      </c>
      <c r="D55" s="461">
        <f>'[4]1.1 Plnění rozpočtu HČ'!$D$58</f>
        <v>811251</v>
      </c>
      <c r="E55" s="348">
        <v>-544910</v>
      </c>
      <c r="F55" s="349">
        <v>0</v>
      </c>
      <c r="G55" s="350">
        <f>+E55-F55</f>
        <v>-544910</v>
      </c>
      <c r="H55" s="81">
        <v>428323</v>
      </c>
      <c r="I55" s="82"/>
      <c r="J55" s="253">
        <f>+H55-I55</f>
        <v>428323</v>
      </c>
      <c r="K55" s="81">
        <v>129904</v>
      </c>
      <c r="L55" s="82"/>
      <c r="M55" s="62">
        <f t="shared" si="16"/>
        <v>129904</v>
      </c>
      <c r="N55" s="81">
        <v>845442</v>
      </c>
      <c r="O55" s="82">
        <v>0</v>
      </c>
      <c r="P55" s="62">
        <f t="shared" si="17"/>
        <v>845442</v>
      </c>
      <c r="Q55" s="77">
        <f>+N55-K55</f>
        <v>715538</v>
      </c>
      <c r="R55" s="181">
        <f>+O55-L55</f>
        <v>0</v>
      </c>
      <c r="S55" s="491">
        <f>+P55-M55</f>
        <v>715538</v>
      </c>
      <c r="T55" s="81">
        <f t="shared" si="10"/>
        <v>417119</v>
      </c>
      <c r="U55" s="164">
        <f t="shared" si="18"/>
        <v>0</v>
      </c>
      <c r="V55" s="178">
        <f t="shared" si="19"/>
        <v>417119</v>
      </c>
      <c r="W55" s="181">
        <f>+K55-H55</f>
        <v>-298419</v>
      </c>
      <c r="X55" s="181">
        <f>+L55-I55</f>
        <v>0</v>
      </c>
      <c r="Y55" s="491">
        <f>+M55-J55</f>
        <v>-298419</v>
      </c>
    </row>
    <row r="56" spans="1:25" s="101" customFormat="1" ht="19.5" thickBot="1">
      <c r="A56" s="117">
        <v>50</v>
      </c>
      <c r="B56" s="118" t="s">
        <v>248</v>
      </c>
      <c r="C56" s="470" t="s">
        <v>40</v>
      </c>
      <c r="D56" s="120">
        <f>D57+D72+D78</f>
        <v>346840657.38</v>
      </c>
      <c r="E56" s="120">
        <f>E57+E72+E78</f>
        <v>360657184.58</v>
      </c>
      <c r="F56" s="120">
        <f>F57+F72+F78</f>
        <v>35538089</v>
      </c>
      <c r="G56" s="122">
        <f>G57+G72+G78</f>
        <v>325119095.58</v>
      </c>
      <c r="H56" s="120">
        <f aca="true" t="shared" si="30" ref="H56:P56">H57+H72+H78</f>
        <v>383702108.71000004</v>
      </c>
      <c r="I56" s="120">
        <f t="shared" si="30"/>
        <v>23304332</v>
      </c>
      <c r="J56" s="122">
        <f t="shared" si="30"/>
        <v>360397776.71000004</v>
      </c>
      <c r="K56" s="120">
        <f t="shared" si="30"/>
        <v>357068481</v>
      </c>
      <c r="L56" s="120">
        <f t="shared" si="30"/>
        <v>26100433.83</v>
      </c>
      <c r="M56" s="122">
        <f t="shared" si="30"/>
        <v>329828179.17</v>
      </c>
      <c r="N56" s="120">
        <f>N57+N72+N78</f>
        <v>349972729.76</v>
      </c>
      <c r="O56" s="120">
        <f t="shared" si="30"/>
        <v>38392823.39</v>
      </c>
      <c r="P56" s="122">
        <f t="shared" si="30"/>
        <v>309128191.55</v>
      </c>
      <c r="Q56" s="120">
        <f aca="true" t="shared" si="31" ref="Q56:S57">+N56-K56</f>
        <v>-7095751.24000001</v>
      </c>
      <c r="R56" s="165">
        <f t="shared" si="31"/>
        <v>12292389.560000002</v>
      </c>
      <c r="S56" s="179">
        <f t="shared" si="31"/>
        <v>-20699987.620000005</v>
      </c>
      <c r="T56" s="120">
        <f t="shared" si="10"/>
        <v>-33729378.95000005</v>
      </c>
      <c r="U56" s="165">
        <f t="shared" si="18"/>
        <v>15088491.39</v>
      </c>
      <c r="V56" s="179">
        <f t="shared" si="19"/>
        <v>-51269585.160000026</v>
      </c>
      <c r="W56" s="165">
        <f aca="true" t="shared" si="32" ref="W56:Y57">+K56-H56</f>
        <v>-26633627.71000004</v>
      </c>
      <c r="X56" s="165">
        <f t="shared" si="32"/>
        <v>2796101.829999998</v>
      </c>
      <c r="Y56" s="179">
        <f t="shared" si="32"/>
        <v>-30569597.54000002</v>
      </c>
    </row>
    <row r="57" spans="1:25" s="100" customFormat="1" ht="15.75">
      <c r="A57" s="102">
        <v>51</v>
      </c>
      <c r="B57" s="151" t="s">
        <v>254</v>
      </c>
      <c r="C57" s="466"/>
      <c r="D57" s="474">
        <f>D58+D59+D60+D61+D62+D63+D64+D65+D66+D67+D68+D69+D70+D71</f>
        <v>195017251.85</v>
      </c>
      <c r="E57" s="474">
        <f>E58+E59+E60+E61+E62+E63+E64+E65+E66+E67+E68+E69+E70+E71</f>
        <v>181584934</v>
      </c>
      <c r="F57" s="474">
        <f>F58+F59+F60+F61+F62+F63+F64+F65+F66+F67+F68+F69+F70+F71</f>
        <v>2975458</v>
      </c>
      <c r="G57" s="475">
        <f>G58+G59+G60+G61+G62+G63+G64+G65+G66+G67+G68+G69+G70+G71</f>
        <v>178609476</v>
      </c>
      <c r="H57" s="72">
        <f aca="true" t="shared" si="33" ref="H57:O57">H58+H59+H60+H61+H62+H63+H64+H65+H66+H67+H68+H69+H70+H71</f>
        <v>215387534.51000002</v>
      </c>
      <c r="I57" s="72">
        <f t="shared" si="33"/>
        <v>96293</v>
      </c>
      <c r="J57" s="73">
        <f t="shared" si="33"/>
        <v>215291241.51000002</v>
      </c>
      <c r="K57" s="72">
        <f t="shared" si="33"/>
        <v>181533866</v>
      </c>
      <c r="L57" s="72">
        <f t="shared" si="33"/>
        <v>0</v>
      </c>
      <c r="M57" s="73">
        <f t="shared" si="33"/>
        <v>181533866</v>
      </c>
      <c r="N57" s="72">
        <f t="shared" si="33"/>
        <v>172175956</v>
      </c>
      <c r="O57" s="72">
        <f t="shared" si="33"/>
        <v>63191</v>
      </c>
      <c r="P57" s="62">
        <f t="shared" si="17"/>
        <v>172112765</v>
      </c>
      <c r="Q57" s="72">
        <f t="shared" si="31"/>
        <v>-9357910</v>
      </c>
      <c r="R57" s="161">
        <f t="shared" si="31"/>
        <v>63191</v>
      </c>
      <c r="S57" s="175">
        <f t="shared" si="31"/>
        <v>-9421101</v>
      </c>
      <c r="T57" s="72">
        <f t="shared" si="10"/>
        <v>-43211578.51000002</v>
      </c>
      <c r="U57" s="161">
        <f t="shared" si="18"/>
        <v>-33102</v>
      </c>
      <c r="V57" s="175">
        <f t="shared" si="19"/>
        <v>-43178476.51000002</v>
      </c>
      <c r="W57" s="161">
        <f t="shared" si="32"/>
        <v>-33853668.51000002</v>
      </c>
      <c r="X57" s="161">
        <f t="shared" si="32"/>
        <v>-96293</v>
      </c>
      <c r="Y57" s="175">
        <f t="shared" si="32"/>
        <v>-33757375.51000002</v>
      </c>
    </row>
    <row r="58" spans="1:25" ht="15">
      <c r="A58" s="39">
        <v>52</v>
      </c>
      <c r="B58" s="152" t="s">
        <v>129</v>
      </c>
      <c r="C58" s="467" t="s">
        <v>130</v>
      </c>
      <c r="D58" s="461">
        <f>'[4]1.1 Plnění rozpočtu HČ'!$D$61</f>
        <v>146000995.2</v>
      </c>
      <c r="E58" s="461">
        <v>144909898</v>
      </c>
      <c r="F58" s="462">
        <v>0</v>
      </c>
      <c r="G58" s="476">
        <f aca="true" t="shared" si="34" ref="G58:G71">+E58-F58</f>
        <v>144909898</v>
      </c>
      <c r="H58" s="61">
        <v>145085454.66</v>
      </c>
      <c r="I58" s="37"/>
      <c r="J58" s="248">
        <f aca="true" t="shared" si="35" ref="J58:J71">+H58-I58</f>
        <v>145085454.66</v>
      </c>
      <c r="K58" s="61">
        <v>141913378</v>
      </c>
      <c r="L58" s="37"/>
      <c r="M58" s="62">
        <f aca="true" t="shared" si="36" ref="M58:M77">K58-L58</f>
        <v>141913378</v>
      </c>
      <c r="N58" s="61">
        <v>112158228</v>
      </c>
      <c r="O58" s="37">
        <v>0</v>
      </c>
      <c r="P58" s="62">
        <f t="shared" si="17"/>
        <v>112158228</v>
      </c>
      <c r="Q58" s="77">
        <f aca="true" t="shared" si="37" ref="Q58:Q71">+N58-K58</f>
        <v>-29755150</v>
      </c>
      <c r="R58" s="181">
        <f aca="true" t="shared" si="38" ref="R58:R71">+O58-L58</f>
        <v>0</v>
      </c>
      <c r="S58" s="491">
        <f aca="true" t="shared" si="39" ref="S58:S71">+P58-M58</f>
        <v>-29755150</v>
      </c>
      <c r="T58" s="61">
        <f t="shared" si="10"/>
        <v>-32927226.659999996</v>
      </c>
      <c r="U58" s="162">
        <f t="shared" si="18"/>
        <v>0</v>
      </c>
      <c r="V58" s="176">
        <f t="shared" si="19"/>
        <v>-32927226.659999996</v>
      </c>
      <c r="W58" s="181">
        <f>+K58-H58</f>
        <v>-3172076.6599999964</v>
      </c>
      <c r="X58" s="181">
        <f>+L58-I58</f>
        <v>0</v>
      </c>
      <c r="Y58" s="491">
        <f>+M58-J58</f>
        <v>-3172076.6599999964</v>
      </c>
    </row>
    <row r="59" spans="1:25" ht="15">
      <c r="A59" s="39">
        <v>53</v>
      </c>
      <c r="B59" s="152" t="s">
        <v>131</v>
      </c>
      <c r="C59" s="467" t="s">
        <v>132</v>
      </c>
      <c r="D59" s="461">
        <f>'[4]1.1 Plnění rozpočtu HČ'!$D$62</f>
        <v>4655361.66</v>
      </c>
      <c r="E59" s="461">
        <v>3338649</v>
      </c>
      <c r="F59" s="462">
        <v>0</v>
      </c>
      <c r="G59" s="476">
        <f t="shared" si="34"/>
        <v>3338649</v>
      </c>
      <c r="H59" s="61">
        <v>3516781.33</v>
      </c>
      <c r="I59" s="37"/>
      <c r="J59" s="248">
        <f t="shared" si="35"/>
        <v>3516781.33</v>
      </c>
      <c r="K59" s="61">
        <v>3509804</v>
      </c>
      <c r="L59" s="37"/>
      <c r="M59" s="62">
        <f t="shared" si="36"/>
        <v>3509804</v>
      </c>
      <c r="N59" s="61">
        <v>3257852</v>
      </c>
      <c r="O59" s="37">
        <v>0</v>
      </c>
      <c r="P59" s="62">
        <f t="shared" si="17"/>
        <v>3257852</v>
      </c>
      <c r="Q59" s="77">
        <f t="shared" si="37"/>
        <v>-251952</v>
      </c>
      <c r="R59" s="181">
        <f t="shared" si="38"/>
        <v>0</v>
      </c>
      <c r="S59" s="491">
        <f t="shared" si="39"/>
        <v>-251952</v>
      </c>
      <c r="T59" s="61">
        <f t="shared" si="10"/>
        <v>-258929.33000000007</v>
      </c>
      <c r="U59" s="162">
        <f t="shared" si="18"/>
        <v>0</v>
      </c>
      <c r="V59" s="176">
        <f t="shared" si="19"/>
        <v>-258929.33000000007</v>
      </c>
      <c r="W59" s="181">
        <f aca="true" t="shared" si="40" ref="W59:W71">+K59-H59</f>
        <v>-6977.3300000000745</v>
      </c>
      <c r="X59" s="181">
        <f aca="true" t="shared" si="41" ref="X59:X71">+L59-I59</f>
        <v>0</v>
      </c>
      <c r="Y59" s="491">
        <f aca="true" t="shared" si="42" ref="Y59:Y71">+M59-J59</f>
        <v>-6977.3300000000745</v>
      </c>
    </row>
    <row r="60" spans="1:25" ht="15">
      <c r="A60" s="39">
        <v>54</v>
      </c>
      <c r="B60" s="152" t="s">
        <v>133</v>
      </c>
      <c r="C60" s="467" t="s">
        <v>134</v>
      </c>
      <c r="D60" s="461">
        <f>'[4]1.1 Plnění rozpočtu HČ'!$D$63</f>
        <v>15490917.75</v>
      </c>
      <c r="E60" s="461">
        <v>16537841</v>
      </c>
      <c r="F60" s="462">
        <v>0</v>
      </c>
      <c r="G60" s="476">
        <f t="shared" si="34"/>
        <v>16537841</v>
      </c>
      <c r="H60" s="61">
        <v>17291411.47</v>
      </c>
      <c r="I60" s="37"/>
      <c r="J60" s="248">
        <f t="shared" si="35"/>
        <v>17291411.47</v>
      </c>
      <c r="K60" s="61">
        <v>18416928</v>
      </c>
      <c r="L60" s="37"/>
      <c r="M60" s="62">
        <f t="shared" si="36"/>
        <v>18416928</v>
      </c>
      <c r="N60" s="61">
        <v>21690010</v>
      </c>
      <c r="O60" s="37">
        <v>0</v>
      </c>
      <c r="P60" s="62">
        <f t="shared" si="17"/>
        <v>21690010</v>
      </c>
      <c r="Q60" s="77">
        <f t="shared" si="37"/>
        <v>3273082</v>
      </c>
      <c r="R60" s="181">
        <f t="shared" si="38"/>
        <v>0</v>
      </c>
      <c r="S60" s="491">
        <f t="shared" si="39"/>
        <v>3273082</v>
      </c>
      <c r="T60" s="61">
        <f t="shared" si="10"/>
        <v>4398598.530000001</v>
      </c>
      <c r="U60" s="162">
        <f t="shared" si="18"/>
        <v>0</v>
      </c>
      <c r="V60" s="176">
        <f t="shared" si="19"/>
        <v>4398598.530000001</v>
      </c>
      <c r="W60" s="181">
        <f t="shared" si="40"/>
        <v>1125516.5300000012</v>
      </c>
      <c r="X60" s="181">
        <f t="shared" si="41"/>
        <v>0</v>
      </c>
      <c r="Y60" s="491">
        <f t="shared" si="42"/>
        <v>1125516.5300000012</v>
      </c>
    </row>
    <row r="61" spans="1:25" ht="15">
      <c r="A61" s="39">
        <v>55</v>
      </c>
      <c r="B61" s="152" t="s">
        <v>135</v>
      </c>
      <c r="C61" s="467" t="s">
        <v>136</v>
      </c>
      <c r="D61" s="461">
        <f>'[4]1.1 Plnění rozpočtu HČ'!$D$64</f>
        <v>2360108.99</v>
      </c>
      <c r="E61" s="461">
        <v>1977555</v>
      </c>
      <c r="F61" s="462">
        <v>0</v>
      </c>
      <c r="G61" s="476">
        <f t="shared" si="34"/>
        <v>1977555</v>
      </c>
      <c r="H61" s="61">
        <v>2594117.59</v>
      </c>
      <c r="I61" s="37"/>
      <c r="J61" s="248">
        <f t="shared" si="35"/>
        <v>2594117.59</v>
      </c>
      <c r="K61" s="61">
        <v>2515793</v>
      </c>
      <c r="L61" s="37"/>
      <c r="M61" s="62">
        <f t="shared" si="36"/>
        <v>2515793</v>
      </c>
      <c r="N61" s="61">
        <v>2231532</v>
      </c>
      <c r="O61" s="37">
        <v>0</v>
      </c>
      <c r="P61" s="62">
        <f t="shared" si="17"/>
        <v>2231532</v>
      </c>
      <c r="Q61" s="77">
        <f t="shared" si="37"/>
        <v>-284261</v>
      </c>
      <c r="R61" s="181">
        <f t="shared" si="38"/>
        <v>0</v>
      </c>
      <c r="S61" s="491">
        <f t="shared" si="39"/>
        <v>-284261</v>
      </c>
      <c r="T61" s="61">
        <f t="shared" si="10"/>
        <v>-362585.58999999985</v>
      </c>
      <c r="U61" s="162">
        <f t="shared" si="18"/>
        <v>0</v>
      </c>
      <c r="V61" s="176">
        <f t="shared" si="19"/>
        <v>-362585.58999999985</v>
      </c>
      <c r="W61" s="181">
        <f t="shared" si="40"/>
        <v>-78324.58999999985</v>
      </c>
      <c r="X61" s="181">
        <f t="shared" si="41"/>
        <v>0</v>
      </c>
      <c r="Y61" s="491">
        <f t="shared" si="42"/>
        <v>-78324.58999999985</v>
      </c>
    </row>
    <row r="62" spans="1:25" ht="15">
      <c r="A62" s="39">
        <v>56</v>
      </c>
      <c r="B62" s="152" t="s">
        <v>137</v>
      </c>
      <c r="C62" s="467" t="s">
        <v>138</v>
      </c>
      <c r="D62" s="461">
        <f>'[4]1.1 Plnění rozpočtu HČ'!$D$65</f>
        <v>43768.6</v>
      </c>
      <c r="E62" s="461">
        <v>41620</v>
      </c>
      <c r="F62" s="462">
        <v>0</v>
      </c>
      <c r="G62" s="476">
        <f t="shared" si="34"/>
        <v>41620</v>
      </c>
      <c r="H62" s="61">
        <v>34444.35</v>
      </c>
      <c r="I62" s="37"/>
      <c r="J62" s="248">
        <f t="shared" si="35"/>
        <v>34444.35</v>
      </c>
      <c r="K62" s="61">
        <v>35172</v>
      </c>
      <c r="L62" s="37"/>
      <c r="M62" s="62">
        <f t="shared" si="36"/>
        <v>35172</v>
      </c>
      <c r="N62" s="61">
        <v>34510</v>
      </c>
      <c r="O62" s="37">
        <v>0</v>
      </c>
      <c r="P62" s="62">
        <f t="shared" si="17"/>
        <v>34510</v>
      </c>
      <c r="Q62" s="77">
        <f t="shared" si="37"/>
        <v>-662</v>
      </c>
      <c r="R62" s="181">
        <f t="shared" si="38"/>
        <v>0</v>
      </c>
      <c r="S62" s="491">
        <f t="shared" si="39"/>
        <v>-662</v>
      </c>
      <c r="T62" s="61">
        <f t="shared" si="10"/>
        <v>65.65000000000146</v>
      </c>
      <c r="U62" s="162">
        <f t="shared" si="18"/>
        <v>0</v>
      </c>
      <c r="V62" s="176">
        <f t="shared" si="19"/>
        <v>65.65000000000146</v>
      </c>
      <c r="W62" s="181">
        <f t="shared" si="40"/>
        <v>727.6500000000015</v>
      </c>
      <c r="X62" s="181">
        <f t="shared" si="41"/>
        <v>0</v>
      </c>
      <c r="Y62" s="491">
        <f t="shared" si="42"/>
        <v>727.6500000000015</v>
      </c>
    </row>
    <row r="63" spans="1:25" ht="15">
      <c r="A63" s="39">
        <v>57</v>
      </c>
      <c r="B63" s="152" t="s">
        <v>81</v>
      </c>
      <c r="C63" s="467" t="s">
        <v>139</v>
      </c>
      <c r="D63" s="461">
        <f>'[4]1.1 Plnění rozpočtu HČ'!$D$66</f>
        <v>168791</v>
      </c>
      <c r="E63" s="461">
        <v>248230</v>
      </c>
      <c r="F63" s="462">
        <v>0</v>
      </c>
      <c r="G63" s="476">
        <f t="shared" si="34"/>
        <v>248230</v>
      </c>
      <c r="H63" s="61">
        <v>124509.4</v>
      </c>
      <c r="I63" s="37"/>
      <c r="J63" s="248">
        <f t="shared" si="35"/>
        <v>124509.4</v>
      </c>
      <c r="K63" s="61">
        <v>358929</v>
      </c>
      <c r="L63" s="37"/>
      <c r="M63" s="62">
        <f t="shared" si="36"/>
        <v>358929</v>
      </c>
      <c r="N63" s="61">
        <v>339073</v>
      </c>
      <c r="O63" s="37">
        <v>54440</v>
      </c>
      <c r="P63" s="62">
        <f t="shared" si="17"/>
        <v>284633</v>
      </c>
      <c r="Q63" s="77">
        <f t="shared" si="37"/>
        <v>-19856</v>
      </c>
      <c r="R63" s="181">
        <f t="shared" si="38"/>
        <v>54440</v>
      </c>
      <c r="S63" s="491">
        <f t="shared" si="39"/>
        <v>-74296</v>
      </c>
      <c r="T63" s="61">
        <f t="shared" si="10"/>
        <v>214563.6</v>
      </c>
      <c r="U63" s="162">
        <f t="shared" si="18"/>
        <v>54440</v>
      </c>
      <c r="V63" s="176">
        <f t="shared" si="19"/>
        <v>160123.6</v>
      </c>
      <c r="W63" s="181">
        <f t="shared" si="40"/>
        <v>234419.6</v>
      </c>
      <c r="X63" s="181">
        <f t="shared" si="41"/>
        <v>0</v>
      </c>
      <c r="Y63" s="491">
        <f t="shared" si="42"/>
        <v>234419.6</v>
      </c>
    </row>
    <row r="64" spans="1:25" ht="15">
      <c r="A64" s="39">
        <v>58</v>
      </c>
      <c r="B64" s="152" t="s">
        <v>83</v>
      </c>
      <c r="C64" s="467" t="s">
        <v>140</v>
      </c>
      <c r="D64" s="461">
        <f>'[4]1.1 Plnění rozpočtu HČ'!$D$67</f>
        <v>0</v>
      </c>
      <c r="E64" s="461">
        <v>0</v>
      </c>
      <c r="F64" s="462">
        <v>0</v>
      </c>
      <c r="G64" s="476">
        <f t="shared" si="34"/>
        <v>0</v>
      </c>
      <c r="H64" s="61">
        <v>0</v>
      </c>
      <c r="I64" s="37"/>
      <c r="J64" s="248">
        <f t="shared" si="35"/>
        <v>0</v>
      </c>
      <c r="K64" s="61">
        <v>0</v>
      </c>
      <c r="L64" s="37"/>
      <c r="M64" s="62">
        <f t="shared" si="36"/>
        <v>0</v>
      </c>
      <c r="N64" s="61">
        <v>0</v>
      </c>
      <c r="O64" s="37">
        <v>0</v>
      </c>
      <c r="P64" s="62">
        <f t="shared" si="17"/>
        <v>0</v>
      </c>
      <c r="Q64" s="77">
        <f t="shared" si="37"/>
        <v>0</v>
      </c>
      <c r="R64" s="181">
        <f t="shared" si="38"/>
        <v>0</v>
      </c>
      <c r="S64" s="491">
        <f t="shared" si="39"/>
        <v>0</v>
      </c>
      <c r="T64" s="61">
        <f t="shared" si="10"/>
        <v>0</v>
      </c>
      <c r="U64" s="162">
        <f t="shared" si="18"/>
        <v>0</v>
      </c>
      <c r="V64" s="176">
        <f t="shared" si="19"/>
        <v>0</v>
      </c>
      <c r="W64" s="181">
        <f t="shared" si="40"/>
        <v>0</v>
      </c>
      <c r="X64" s="181">
        <f t="shared" si="41"/>
        <v>0</v>
      </c>
      <c r="Y64" s="491">
        <f t="shared" si="42"/>
        <v>0</v>
      </c>
    </row>
    <row r="65" spans="1:25" ht="15">
      <c r="A65" s="39">
        <v>59</v>
      </c>
      <c r="B65" s="152" t="s">
        <v>141</v>
      </c>
      <c r="C65" s="467" t="s">
        <v>142</v>
      </c>
      <c r="D65" s="461">
        <f>'[4]1.1 Plnění rozpočtu HČ'!$D$68</f>
        <v>0</v>
      </c>
      <c r="E65" s="461">
        <v>0</v>
      </c>
      <c r="F65" s="462">
        <v>0</v>
      </c>
      <c r="G65" s="476">
        <f t="shared" si="34"/>
        <v>0</v>
      </c>
      <c r="H65" s="61">
        <v>0</v>
      </c>
      <c r="I65" s="37"/>
      <c r="J65" s="248">
        <f t="shared" si="35"/>
        <v>0</v>
      </c>
      <c r="K65" s="61">
        <v>0</v>
      </c>
      <c r="L65" s="37"/>
      <c r="M65" s="62">
        <f t="shared" si="36"/>
        <v>0</v>
      </c>
      <c r="N65" s="61">
        <v>0</v>
      </c>
      <c r="O65" s="37">
        <v>0</v>
      </c>
      <c r="P65" s="62">
        <f t="shared" si="17"/>
        <v>0</v>
      </c>
      <c r="Q65" s="77">
        <f t="shared" si="37"/>
        <v>0</v>
      </c>
      <c r="R65" s="181">
        <f t="shared" si="38"/>
        <v>0</v>
      </c>
      <c r="S65" s="491">
        <f t="shared" si="39"/>
        <v>0</v>
      </c>
      <c r="T65" s="61">
        <f t="shared" si="10"/>
        <v>0</v>
      </c>
      <c r="U65" s="162">
        <f t="shared" si="18"/>
        <v>0</v>
      </c>
      <c r="V65" s="176">
        <f t="shared" si="19"/>
        <v>0</v>
      </c>
      <c r="W65" s="181">
        <f t="shared" si="40"/>
        <v>0</v>
      </c>
      <c r="X65" s="181">
        <f t="shared" si="41"/>
        <v>0</v>
      </c>
      <c r="Y65" s="491">
        <f t="shared" si="42"/>
        <v>0</v>
      </c>
    </row>
    <row r="66" spans="1:25" ht="15">
      <c r="A66" s="39">
        <v>60</v>
      </c>
      <c r="B66" s="152" t="s">
        <v>143</v>
      </c>
      <c r="C66" s="467" t="s">
        <v>144</v>
      </c>
      <c r="D66" s="461">
        <f>'[4]1.1 Plnění rozpočtu HČ'!$D$69</f>
        <v>34996.4</v>
      </c>
      <c r="E66" s="461">
        <v>17110</v>
      </c>
      <c r="F66" s="462">
        <v>0</v>
      </c>
      <c r="G66" s="476">
        <f t="shared" si="34"/>
        <v>17110</v>
      </c>
      <c r="H66" s="61">
        <v>12944.69</v>
      </c>
      <c r="I66" s="37"/>
      <c r="J66" s="248">
        <f t="shared" si="35"/>
        <v>12944.69</v>
      </c>
      <c r="K66" s="61">
        <v>10704</v>
      </c>
      <c r="L66" s="37"/>
      <c r="M66" s="62">
        <f t="shared" si="36"/>
        <v>10704</v>
      </c>
      <c r="N66" s="61">
        <v>511081</v>
      </c>
      <c r="O66" s="37">
        <v>0</v>
      </c>
      <c r="P66" s="62">
        <f t="shared" si="17"/>
        <v>511081</v>
      </c>
      <c r="Q66" s="77">
        <f t="shared" si="37"/>
        <v>500377</v>
      </c>
      <c r="R66" s="181">
        <f t="shared" si="38"/>
        <v>0</v>
      </c>
      <c r="S66" s="491">
        <f t="shared" si="39"/>
        <v>500377</v>
      </c>
      <c r="T66" s="61">
        <f t="shared" si="10"/>
        <v>498136.31</v>
      </c>
      <c r="U66" s="162">
        <f t="shared" si="18"/>
        <v>0</v>
      </c>
      <c r="V66" s="176">
        <f t="shared" si="19"/>
        <v>498136.31</v>
      </c>
      <c r="W66" s="181">
        <f t="shared" si="40"/>
        <v>-2240.6900000000005</v>
      </c>
      <c r="X66" s="181">
        <f t="shared" si="41"/>
        <v>0</v>
      </c>
      <c r="Y66" s="491">
        <f t="shared" si="42"/>
        <v>-2240.6900000000005</v>
      </c>
    </row>
    <row r="67" spans="1:25" ht="30">
      <c r="A67" s="39">
        <v>61</v>
      </c>
      <c r="B67" s="152" t="s">
        <v>145</v>
      </c>
      <c r="C67" s="467" t="s">
        <v>146</v>
      </c>
      <c r="D67" s="461">
        <f>'[4]1.1 Plnění rozpočtu HČ'!$D$70</f>
        <v>0</v>
      </c>
      <c r="E67" s="461">
        <v>0</v>
      </c>
      <c r="F67" s="462">
        <v>0</v>
      </c>
      <c r="G67" s="476">
        <f t="shared" si="34"/>
        <v>0</v>
      </c>
      <c r="H67" s="61">
        <v>0</v>
      </c>
      <c r="I67" s="37"/>
      <c r="J67" s="248">
        <f t="shared" si="35"/>
        <v>0</v>
      </c>
      <c r="K67" s="61">
        <v>0</v>
      </c>
      <c r="L67" s="37"/>
      <c r="M67" s="62">
        <f t="shared" si="36"/>
        <v>0</v>
      </c>
      <c r="N67" s="61">
        <v>0</v>
      </c>
      <c r="O67" s="37">
        <v>0</v>
      </c>
      <c r="P67" s="62">
        <f t="shared" si="17"/>
        <v>0</v>
      </c>
      <c r="Q67" s="77">
        <f t="shared" si="37"/>
        <v>0</v>
      </c>
      <c r="R67" s="181">
        <f t="shared" si="38"/>
        <v>0</v>
      </c>
      <c r="S67" s="491">
        <f t="shared" si="39"/>
        <v>0</v>
      </c>
      <c r="T67" s="61">
        <f t="shared" si="10"/>
        <v>0</v>
      </c>
      <c r="U67" s="162">
        <f t="shared" si="18"/>
        <v>0</v>
      </c>
      <c r="V67" s="176">
        <f t="shared" si="19"/>
        <v>0</v>
      </c>
      <c r="W67" s="181">
        <f t="shared" si="40"/>
        <v>0</v>
      </c>
      <c r="X67" s="181">
        <f t="shared" si="41"/>
        <v>0</v>
      </c>
      <c r="Y67" s="491">
        <f t="shared" si="42"/>
        <v>0</v>
      </c>
    </row>
    <row r="68" spans="1:25" ht="30">
      <c r="A68" s="39">
        <v>62</v>
      </c>
      <c r="B68" s="152" t="s">
        <v>183</v>
      </c>
      <c r="C68" s="467" t="s">
        <v>147</v>
      </c>
      <c r="D68" s="461">
        <f>'[4]1.1 Plnění rozpočtu HČ'!$D$71</f>
        <v>2852710.46</v>
      </c>
      <c r="E68" s="461">
        <v>50053</v>
      </c>
      <c r="F68" s="462">
        <v>0</v>
      </c>
      <c r="G68" s="476">
        <f t="shared" si="34"/>
        <v>50053</v>
      </c>
      <c r="H68" s="61">
        <v>376160.33</v>
      </c>
      <c r="I68" s="37"/>
      <c r="J68" s="248">
        <f t="shared" si="35"/>
        <v>376160.33</v>
      </c>
      <c r="K68" s="61">
        <v>395058</v>
      </c>
      <c r="L68" s="37"/>
      <c r="M68" s="62">
        <f t="shared" si="36"/>
        <v>395058</v>
      </c>
      <c r="N68" s="61">
        <v>313346</v>
      </c>
      <c r="O68" s="37">
        <v>0</v>
      </c>
      <c r="P68" s="62">
        <f t="shared" si="17"/>
        <v>313346</v>
      </c>
      <c r="Q68" s="77">
        <f t="shared" si="37"/>
        <v>-81712</v>
      </c>
      <c r="R68" s="181">
        <f t="shared" si="38"/>
        <v>0</v>
      </c>
      <c r="S68" s="491">
        <f t="shared" si="39"/>
        <v>-81712</v>
      </c>
      <c r="T68" s="61">
        <f t="shared" si="10"/>
        <v>-62814.330000000016</v>
      </c>
      <c r="U68" s="162">
        <f t="shared" si="18"/>
        <v>0</v>
      </c>
      <c r="V68" s="176">
        <f t="shared" si="19"/>
        <v>-62814.330000000016</v>
      </c>
      <c r="W68" s="181">
        <f t="shared" si="40"/>
        <v>18897.669999999984</v>
      </c>
      <c r="X68" s="181">
        <f t="shared" si="41"/>
        <v>0</v>
      </c>
      <c r="Y68" s="491">
        <f t="shared" si="42"/>
        <v>18897.669999999984</v>
      </c>
    </row>
    <row r="69" spans="1:25" ht="15">
      <c r="A69" s="39">
        <v>63</v>
      </c>
      <c r="B69" s="152" t="s">
        <v>148</v>
      </c>
      <c r="C69" s="467" t="s">
        <v>149</v>
      </c>
      <c r="D69" s="461">
        <f>'[4]1.1 Plnění rozpočtu HČ'!$D$72</f>
        <v>0</v>
      </c>
      <c r="E69" s="461">
        <v>0</v>
      </c>
      <c r="F69" s="462">
        <v>0</v>
      </c>
      <c r="G69" s="476">
        <f t="shared" si="34"/>
        <v>0</v>
      </c>
      <c r="H69" s="61">
        <v>0</v>
      </c>
      <c r="I69" s="37"/>
      <c r="J69" s="248">
        <f t="shared" si="35"/>
        <v>0</v>
      </c>
      <c r="K69" s="61">
        <v>0</v>
      </c>
      <c r="L69" s="37"/>
      <c r="M69" s="62">
        <f t="shared" si="36"/>
        <v>0</v>
      </c>
      <c r="N69" s="61">
        <v>0</v>
      </c>
      <c r="O69" s="37">
        <v>0</v>
      </c>
      <c r="P69" s="62">
        <f t="shared" si="17"/>
        <v>0</v>
      </c>
      <c r="Q69" s="77">
        <f t="shared" si="37"/>
        <v>0</v>
      </c>
      <c r="R69" s="181">
        <f t="shared" si="38"/>
        <v>0</v>
      </c>
      <c r="S69" s="491">
        <f t="shared" si="39"/>
        <v>0</v>
      </c>
      <c r="T69" s="61">
        <f t="shared" si="10"/>
        <v>0</v>
      </c>
      <c r="U69" s="162">
        <f t="shared" si="18"/>
        <v>0</v>
      </c>
      <c r="V69" s="176">
        <f t="shared" si="19"/>
        <v>0</v>
      </c>
      <c r="W69" s="181">
        <f t="shared" si="40"/>
        <v>0</v>
      </c>
      <c r="X69" s="181">
        <f t="shared" si="41"/>
        <v>0</v>
      </c>
      <c r="Y69" s="491">
        <f t="shared" si="42"/>
        <v>0</v>
      </c>
    </row>
    <row r="70" spans="1:25" ht="15">
      <c r="A70" s="39">
        <v>64</v>
      </c>
      <c r="B70" s="152" t="s">
        <v>150</v>
      </c>
      <c r="C70" s="467" t="s">
        <v>151</v>
      </c>
      <c r="D70" s="461">
        <f>'[4]1.1 Plnění rozpočtu HČ'!$D$73</f>
        <v>18109649.54</v>
      </c>
      <c r="E70" s="461">
        <v>3760052</v>
      </c>
      <c r="F70" s="462">
        <v>2961343</v>
      </c>
      <c r="G70" s="476">
        <f t="shared" si="34"/>
        <v>798709</v>
      </c>
      <c r="H70" s="61">
        <v>17034903.48</v>
      </c>
      <c r="I70" s="37">
        <v>10037</v>
      </c>
      <c r="J70" s="248">
        <f t="shared" si="35"/>
        <v>17024866.48</v>
      </c>
      <c r="K70" s="61">
        <v>663350</v>
      </c>
      <c r="L70" s="37"/>
      <c r="M70" s="62">
        <f t="shared" si="36"/>
        <v>663350</v>
      </c>
      <c r="N70" s="61">
        <v>28943607</v>
      </c>
      <c r="O70" s="37">
        <v>0</v>
      </c>
      <c r="P70" s="62">
        <f t="shared" si="17"/>
        <v>28943607</v>
      </c>
      <c r="Q70" s="77">
        <f t="shared" si="37"/>
        <v>28280257</v>
      </c>
      <c r="R70" s="181">
        <f t="shared" si="38"/>
        <v>0</v>
      </c>
      <c r="S70" s="491">
        <f t="shared" si="39"/>
        <v>28280257</v>
      </c>
      <c r="T70" s="61">
        <f t="shared" si="10"/>
        <v>11908703.52</v>
      </c>
      <c r="U70" s="162">
        <f t="shared" si="18"/>
        <v>-10037</v>
      </c>
      <c r="V70" s="176">
        <f t="shared" si="19"/>
        <v>11918740.52</v>
      </c>
      <c r="W70" s="181">
        <f t="shared" si="40"/>
        <v>-16371553.48</v>
      </c>
      <c r="X70" s="181">
        <f t="shared" si="41"/>
        <v>-10037</v>
      </c>
      <c r="Y70" s="491">
        <f t="shared" si="42"/>
        <v>-16361516.48</v>
      </c>
    </row>
    <row r="71" spans="1:25" ht="15">
      <c r="A71" s="39">
        <v>65</v>
      </c>
      <c r="B71" s="152" t="s">
        <v>152</v>
      </c>
      <c r="C71" s="467" t="s">
        <v>153</v>
      </c>
      <c r="D71" s="461">
        <f>'[4]1.1 Plnění rozpočtu HČ'!$D$74</f>
        <v>5299952.25</v>
      </c>
      <c r="E71" s="461">
        <v>10703926</v>
      </c>
      <c r="F71" s="462">
        <v>14115</v>
      </c>
      <c r="G71" s="476">
        <f t="shared" si="34"/>
        <v>10689811</v>
      </c>
      <c r="H71" s="61">
        <v>29316807.21</v>
      </c>
      <c r="I71" s="37">
        <v>86256</v>
      </c>
      <c r="J71" s="248">
        <f t="shared" si="35"/>
        <v>29230551.21</v>
      </c>
      <c r="K71" s="61">
        <v>13714750</v>
      </c>
      <c r="L71" s="37"/>
      <c r="M71" s="62">
        <f t="shared" si="36"/>
        <v>13714750</v>
      </c>
      <c r="N71" s="61">
        <v>2696717</v>
      </c>
      <c r="O71" s="37">
        <v>8751</v>
      </c>
      <c r="P71" s="62">
        <f t="shared" si="17"/>
        <v>2687966</v>
      </c>
      <c r="Q71" s="77">
        <f t="shared" si="37"/>
        <v>-11018033</v>
      </c>
      <c r="R71" s="181">
        <f t="shared" si="38"/>
        <v>8751</v>
      </c>
      <c r="S71" s="491">
        <f t="shared" si="39"/>
        <v>-11026784</v>
      </c>
      <c r="T71" s="61">
        <f t="shared" si="10"/>
        <v>-26620090.21</v>
      </c>
      <c r="U71" s="162">
        <f t="shared" si="18"/>
        <v>-77505</v>
      </c>
      <c r="V71" s="176">
        <f t="shared" si="19"/>
        <v>-26542585.21</v>
      </c>
      <c r="W71" s="181">
        <f t="shared" si="40"/>
        <v>-15602057.21</v>
      </c>
      <c r="X71" s="181">
        <f t="shared" si="41"/>
        <v>-86256</v>
      </c>
      <c r="Y71" s="491">
        <f t="shared" si="42"/>
        <v>-15515801.21</v>
      </c>
    </row>
    <row r="72" spans="1:25" s="100" customFormat="1" ht="15.75">
      <c r="A72" s="51">
        <v>66</v>
      </c>
      <c r="B72" s="153" t="s">
        <v>255</v>
      </c>
      <c r="C72" s="468"/>
      <c r="D72" s="477">
        <f>D73+D74+D75+D76+D77</f>
        <v>4853115.53</v>
      </c>
      <c r="E72" s="477">
        <f>E73+E74+E75+E76+E77</f>
        <v>1054517</v>
      </c>
      <c r="F72" s="163">
        <f>F73+F74+F75+F76+F77</f>
        <v>1726</v>
      </c>
      <c r="G72" s="478">
        <f>G73+G74+G75+G76+G77</f>
        <v>1052791</v>
      </c>
      <c r="H72" s="59">
        <f aca="true" t="shared" si="43" ref="H72:P72">H73+H74+H75+H76+H77</f>
        <v>709432.53</v>
      </c>
      <c r="I72" s="59">
        <f t="shared" si="43"/>
        <v>0</v>
      </c>
      <c r="J72" s="60">
        <f t="shared" si="43"/>
        <v>709432.53</v>
      </c>
      <c r="K72" s="59">
        <f t="shared" si="43"/>
        <v>147388</v>
      </c>
      <c r="L72" s="59">
        <f t="shared" si="43"/>
        <v>0</v>
      </c>
      <c r="M72" s="60">
        <f t="shared" si="43"/>
        <v>147388</v>
      </c>
      <c r="N72" s="730">
        <f t="shared" si="43"/>
        <v>67553</v>
      </c>
      <c r="O72" s="731">
        <f t="shared" si="43"/>
        <v>366</v>
      </c>
      <c r="P72" s="60">
        <f t="shared" si="43"/>
        <v>67187</v>
      </c>
      <c r="Q72" s="72">
        <f>+N72-K72</f>
        <v>-79835</v>
      </c>
      <c r="R72" s="161">
        <f>+O72-L72</f>
        <v>366</v>
      </c>
      <c r="S72" s="175">
        <f>+P72-M72</f>
        <v>-80201</v>
      </c>
      <c r="T72" s="59">
        <f>+N72-H72</f>
        <v>-641879.53</v>
      </c>
      <c r="U72" s="163">
        <f t="shared" si="18"/>
        <v>366</v>
      </c>
      <c r="V72" s="177">
        <f t="shared" si="19"/>
        <v>-642245.53</v>
      </c>
      <c r="W72" s="161">
        <f>+K72-H72</f>
        <v>-562044.53</v>
      </c>
      <c r="X72" s="161">
        <f>+L72-I72</f>
        <v>0</v>
      </c>
      <c r="Y72" s="175">
        <f>+M72-J72</f>
        <v>-562044.53</v>
      </c>
    </row>
    <row r="73" spans="1:25" ht="15">
      <c r="A73" s="39">
        <v>67</v>
      </c>
      <c r="B73" s="152" t="s">
        <v>154</v>
      </c>
      <c r="C73" s="467" t="s">
        <v>155</v>
      </c>
      <c r="D73" s="461">
        <f>'[4]1.1 Plnění rozpočtu HČ'!$D$76</f>
        <v>0</v>
      </c>
      <c r="E73" s="461">
        <v>0</v>
      </c>
      <c r="F73" s="462">
        <v>0</v>
      </c>
      <c r="G73" s="476">
        <f>+E73-F73</f>
        <v>0</v>
      </c>
      <c r="H73" s="61">
        <v>0</v>
      </c>
      <c r="I73" s="247"/>
      <c r="J73" s="248">
        <f>+H73-I73</f>
        <v>0</v>
      </c>
      <c r="K73" s="61">
        <v>0</v>
      </c>
      <c r="L73" s="37"/>
      <c r="M73" s="62">
        <f t="shared" si="36"/>
        <v>0</v>
      </c>
      <c r="N73" s="61">
        <v>0</v>
      </c>
      <c r="O73" s="37">
        <v>0</v>
      </c>
      <c r="P73" s="62">
        <f t="shared" si="17"/>
        <v>0</v>
      </c>
      <c r="Q73" s="77">
        <f aca="true" t="shared" si="44" ref="Q73:Q79">+N73-K73</f>
        <v>0</v>
      </c>
      <c r="R73" s="181">
        <f aca="true" t="shared" si="45" ref="R73:R79">+O73-L73</f>
        <v>0</v>
      </c>
      <c r="S73" s="491">
        <f aca="true" t="shared" si="46" ref="S73:S79">+P73-M73</f>
        <v>0</v>
      </c>
      <c r="T73" s="61">
        <f>+N73-H73</f>
        <v>0</v>
      </c>
      <c r="U73" s="162">
        <f t="shared" si="18"/>
        <v>0</v>
      </c>
      <c r="V73" s="176">
        <f t="shared" si="19"/>
        <v>0</v>
      </c>
      <c r="W73" s="181">
        <f>+K73-H73</f>
        <v>0</v>
      </c>
      <c r="X73" s="181">
        <f>+L73-I73</f>
        <v>0</v>
      </c>
      <c r="Y73" s="491">
        <f>+M73-J73</f>
        <v>0</v>
      </c>
    </row>
    <row r="74" spans="1:25" ht="15">
      <c r="A74" s="39">
        <v>68</v>
      </c>
      <c r="B74" s="152" t="s">
        <v>113</v>
      </c>
      <c r="C74" s="467" t="s">
        <v>156</v>
      </c>
      <c r="D74" s="461">
        <f>'[4]1.1 Plnění rozpočtu HČ'!$D$77</f>
        <v>366867.59</v>
      </c>
      <c r="E74" s="461">
        <v>29111</v>
      </c>
      <c r="F74" s="462">
        <v>1726</v>
      </c>
      <c r="G74" s="476">
        <f>+E74-F74</f>
        <v>27385</v>
      </c>
      <c r="H74" s="61">
        <v>965.86</v>
      </c>
      <c r="I74" s="247"/>
      <c r="J74" s="248">
        <f>+H74-I74</f>
        <v>965.86</v>
      </c>
      <c r="K74" s="61">
        <v>188</v>
      </c>
      <c r="L74" s="37"/>
      <c r="M74" s="62">
        <f t="shared" si="36"/>
        <v>188</v>
      </c>
      <c r="N74" s="61">
        <v>0</v>
      </c>
      <c r="O74" s="37">
        <v>0</v>
      </c>
      <c r="P74" s="62">
        <f>N74-O74</f>
        <v>0</v>
      </c>
      <c r="Q74" s="77">
        <f t="shared" si="44"/>
        <v>-188</v>
      </c>
      <c r="R74" s="181">
        <f t="shared" si="45"/>
        <v>0</v>
      </c>
      <c r="S74" s="491">
        <f t="shared" si="46"/>
        <v>-188</v>
      </c>
      <c r="T74" s="61">
        <f>+N74-H74</f>
        <v>-965.86</v>
      </c>
      <c r="U74" s="162">
        <f t="shared" si="18"/>
        <v>0</v>
      </c>
      <c r="V74" s="176">
        <f t="shared" si="19"/>
        <v>-965.86</v>
      </c>
      <c r="W74" s="181">
        <f>+K74-H74</f>
        <v>-777.86</v>
      </c>
      <c r="X74" s="181">
        <f>+L74-I74</f>
        <v>0</v>
      </c>
      <c r="Y74" s="491">
        <f>+M74-J74</f>
        <v>-777.86</v>
      </c>
    </row>
    <row r="75" spans="1:25" ht="15">
      <c r="A75" s="39">
        <v>69</v>
      </c>
      <c r="B75" s="152" t="s">
        <v>157</v>
      </c>
      <c r="C75" s="467" t="s">
        <v>158</v>
      </c>
      <c r="D75" s="461">
        <f>'[4]1.1 Plnění rozpočtu HČ'!$D$78</f>
        <v>1280686.94</v>
      </c>
      <c r="E75" s="461">
        <v>661736</v>
      </c>
      <c r="F75" s="462">
        <v>0</v>
      </c>
      <c r="G75" s="476">
        <f>+E75-F75</f>
        <v>661736</v>
      </c>
      <c r="H75" s="61">
        <v>165499.67</v>
      </c>
      <c r="I75" s="247"/>
      <c r="J75" s="248">
        <f>+H75-I75</f>
        <v>165499.67</v>
      </c>
      <c r="K75" s="61">
        <v>200</v>
      </c>
      <c r="L75" s="37"/>
      <c r="M75" s="62">
        <f t="shared" si="36"/>
        <v>200</v>
      </c>
      <c r="N75" s="61">
        <v>67553</v>
      </c>
      <c r="O75" s="37">
        <v>366</v>
      </c>
      <c r="P75" s="62">
        <f>N75-O75</f>
        <v>67187</v>
      </c>
      <c r="Q75" s="77">
        <f t="shared" si="44"/>
        <v>67353</v>
      </c>
      <c r="R75" s="181">
        <f t="shared" si="45"/>
        <v>366</v>
      </c>
      <c r="S75" s="491">
        <f t="shared" si="46"/>
        <v>66987</v>
      </c>
      <c r="T75" s="61">
        <f>+N75-H75</f>
        <v>-97946.67000000001</v>
      </c>
      <c r="U75" s="162">
        <f t="shared" si="18"/>
        <v>366</v>
      </c>
      <c r="V75" s="176">
        <f t="shared" si="19"/>
        <v>-98312.67000000001</v>
      </c>
      <c r="W75" s="181">
        <f>+K75-H75</f>
        <v>-165299.67</v>
      </c>
      <c r="X75" s="181">
        <f>+L75-I75</f>
        <v>0</v>
      </c>
      <c r="Y75" s="491">
        <f>+M75-J75</f>
        <v>-165299.67</v>
      </c>
    </row>
    <row r="76" spans="1:25" ht="15">
      <c r="A76" s="39">
        <v>70</v>
      </c>
      <c r="B76" s="152" t="s">
        <v>159</v>
      </c>
      <c r="C76" s="467" t="s">
        <v>160</v>
      </c>
      <c r="D76" s="461">
        <f>'[4]1.1 Plnění rozpočtu HČ'!$D$79</f>
        <v>3205561</v>
      </c>
      <c r="E76" s="461">
        <v>363670</v>
      </c>
      <c r="F76" s="462">
        <v>0</v>
      </c>
      <c r="G76" s="476">
        <f>+E76-F76</f>
        <v>363670</v>
      </c>
      <c r="H76" s="61">
        <v>542967</v>
      </c>
      <c r="I76" s="247"/>
      <c r="J76" s="248">
        <f>+H76-I76</f>
        <v>542967</v>
      </c>
      <c r="K76" s="61">
        <v>147000</v>
      </c>
      <c r="L76" s="37"/>
      <c r="M76" s="62">
        <f t="shared" si="36"/>
        <v>147000</v>
      </c>
      <c r="N76" s="61">
        <v>0</v>
      </c>
      <c r="O76" s="37">
        <v>0</v>
      </c>
      <c r="P76" s="62">
        <f>N76-O76</f>
        <v>0</v>
      </c>
      <c r="Q76" s="77">
        <f t="shared" si="44"/>
        <v>-147000</v>
      </c>
      <c r="R76" s="181">
        <f t="shared" si="45"/>
        <v>0</v>
      </c>
      <c r="S76" s="491">
        <f t="shared" si="46"/>
        <v>-147000</v>
      </c>
      <c r="T76" s="61">
        <f>+N76-H76</f>
        <v>-542967</v>
      </c>
      <c r="U76" s="162">
        <f t="shared" si="18"/>
        <v>0</v>
      </c>
      <c r="V76" s="176">
        <f t="shared" si="19"/>
        <v>-542967</v>
      </c>
      <c r="W76" s="181">
        <f>+K76-H76</f>
        <v>-395967</v>
      </c>
      <c r="X76" s="181">
        <f>+L76-I76</f>
        <v>0</v>
      </c>
      <c r="Y76" s="491">
        <f>+M76-J76</f>
        <v>-395967</v>
      </c>
    </row>
    <row r="77" spans="1:25" ht="15">
      <c r="A77" s="39">
        <v>71</v>
      </c>
      <c r="B77" s="152" t="s">
        <v>161</v>
      </c>
      <c r="C77" s="467" t="s">
        <v>162</v>
      </c>
      <c r="D77" s="461">
        <f>'[4]1.1 Plnění rozpočtu HČ'!$D$80</f>
        <v>0</v>
      </c>
      <c r="E77" s="461">
        <v>0</v>
      </c>
      <c r="F77" s="462">
        <v>0</v>
      </c>
      <c r="G77" s="476">
        <f>+E77-F77</f>
        <v>0</v>
      </c>
      <c r="H77" s="61">
        <v>0</v>
      </c>
      <c r="I77" s="247"/>
      <c r="J77" s="248">
        <f>+H77-I77</f>
        <v>0</v>
      </c>
      <c r="K77" s="61">
        <v>0</v>
      </c>
      <c r="L77" s="37"/>
      <c r="M77" s="62">
        <f t="shared" si="36"/>
        <v>0</v>
      </c>
      <c r="N77" s="61">
        <v>0</v>
      </c>
      <c r="O77" s="37">
        <v>0</v>
      </c>
      <c r="P77" s="62">
        <f>N77-O77</f>
        <v>0</v>
      </c>
      <c r="Q77" s="77">
        <f t="shared" si="44"/>
        <v>0</v>
      </c>
      <c r="R77" s="181">
        <f t="shared" si="45"/>
        <v>0</v>
      </c>
      <c r="S77" s="491">
        <f t="shared" si="46"/>
        <v>0</v>
      </c>
      <c r="T77" s="61">
        <f>+N77-H77</f>
        <v>0</v>
      </c>
      <c r="U77" s="162">
        <f t="shared" si="18"/>
        <v>0</v>
      </c>
      <c r="V77" s="176">
        <f t="shared" si="19"/>
        <v>0</v>
      </c>
      <c r="W77" s="181">
        <f>+K77-H77</f>
        <v>0</v>
      </c>
      <c r="X77" s="181">
        <f>+L77-I77</f>
        <v>0</v>
      </c>
      <c r="Y77" s="491">
        <f>+M77-J77</f>
        <v>0</v>
      </c>
    </row>
    <row r="78" spans="1:25" s="89" customFormat="1" ht="15.75">
      <c r="A78" s="298">
        <v>72</v>
      </c>
      <c r="B78" s="299" t="s">
        <v>370</v>
      </c>
      <c r="C78" s="471"/>
      <c r="D78" s="479">
        <f>D79+D96</f>
        <v>146970290</v>
      </c>
      <c r="E78" s="479">
        <f>E79+E96</f>
        <v>178017733.57999998</v>
      </c>
      <c r="F78" s="301">
        <f>F79+F96</f>
        <v>32560905</v>
      </c>
      <c r="G78" s="480">
        <f>G79+G96</f>
        <v>145456828.57999998</v>
      </c>
      <c r="H78" s="300">
        <f>H79+H96</f>
        <v>167605141.67</v>
      </c>
      <c r="I78" s="301">
        <f aca="true" t="shared" si="47" ref="I78:O78">I79+I96</f>
        <v>23208039</v>
      </c>
      <c r="J78" s="302">
        <f t="shared" si="47"/>
        <v>144397102.67000002</v>
      </c>
      <c r="K78" s="300">
        <f t="shared" si="47"/>
        <v>175387227</v>
      </c>
      <c r="L78" s="303">
        <f t="shared" si="47"/>
        <v>26100433.83</v>
      </c>
      <c r="M78" s="302">
        <f t="shared" si="47"/>
        <v>148146925.17000002</v>
      </c>
      <c r="N78" s="300">
        <f t="shared" si="47"/>
        <v>177729220.76</v>
      </c>
      <c r="O78" s="303">
        <f t="shared" si="47"/>
        <v>38329266.39</v>
      </c>
      <c r="P78" s="302">
        <f>P79+P96</f>
        <v>136948239.55</v>
      </c>
      <c r="Q78" s="72">
        <f t="shared" si="44"/>
        <v>2341993.7599999905</v>
      </c>
      <c r="R78" s="161">
        <f t="shared" si="45"/>
        <v>12228832.560000002</v>
      </c>
      <c r="S78" s="175">
        <f t="shared" si="46"/>
        <v>-11198685.620000005</v>
      </c>
      <c r="T78" s="300">
        <f>+N78-H78</f>
        <v>10124079.090000004</v>
      </c>
      <c r="U78" s="301">
        <f t="shared" si="18"/>
        <v>15121227.39</v>
      </c>
      <c r="V78" s="304">
        <f t="shared" si="19"/>
        <v>-7448863.120000005</v>
      </c>
      <c r="W78" s="161">
        <f aca="true" t="shared" si="48" ref="W78:Y79">+K78-H78</f>
        <v>7782085.330000013</v>
      </c>
      <c r="X78" s="161">
        <f t="shared" si="48"/>
        <v>2892394.829999998</v>
      </c>
      <c r="Y78" s="175">
        <f t="shared" si="48"/>
        <v>3749822.5</v>
      </c>
    </row>
    <row r="79" spans="1:25" s="89" customFormat="1" ht="28.5">
      <c r="A79" s="298">
        <v>73</v>
      </c>
      <c r="B79" s="299" t="s">
        <v>163</v>
      </c>
      <c r="C79" s="471" t="s">
        <v>164</v>
      </c>
      <c r="D79" s="479">
        <f>SUM(D80:D95)</f>
        <v>146970290</v>
      </c>
      <c r="E79" s="479">
        <f>SUM(E80:E95)</f>
        <v>178017733.57999998</v>
      </c>
      <c r="F79" s="301">
        <f>SUM(F80:F95)</f>
        <v>32560905</v>
      </c>
      <c r="G79" s="480">
        <f>SUM(G80:G95)</f>
        <v>145456828.57999998</v>
      </c>
      <c r="H79" s="300">
        <f>SUM(H80:H95)</f>
        <v>167605141.67</v>
      </c>
      <c r="I79" s="301">
        <f>SUM(I80:I95)</f>
        <v>23208039</v>
      </c>
      <c r="J79" s="302">
        <f>SUM(J80:J95)</f>
        <v>144397102.67000002</v>
      </c>
      <c r="K79" s="300">
        <f>SUM(K80:K95)</f>
        <v>175387227</v>
      </c>
      <c r="L79" s="303">
        <f>SUM(L80:L95)</f>
        <v>26100433.83</v>
      </c>
      <c r="M79" s="302">
        <f>SUM(M80:M95)</f>
        <v>148146925.17000002</v>
      </c>
      <c r="N79" s="305">
        <f>SUM(N80:N95)</f>
        <v>177729220.76</v>
      </c>
      <c r="O79" s="743">
        <f>SUM(O80:O95)</f>
        <v>38329266.39</v>
      </c>
      <c r="P79" s="302">
        <f>SUM(P80:P95)</f>
        <v>136948239.55</v>
      </c>
      <c r="Q79" s="72">
        <f t="shared" si="44"/>
        <v>2341993.7599999905</v>
      </c>
      <c r="R79" s="161">
        <f t="shared" si="45"/>
        <v>12228832.560000002</v>
      </c>
      <c r="S79" s="175">
        <f t="shared" si="46"/>
        <v>-11198685.620000005</v>
      </c>
      <c r="T79" s="300">
        <f>+N79-H79</f>
        <v>10124079.090000004</v>
      </c>
      <c r="U79" s="301">
        <f t="shared" si="18"/>
        <v>15121227.39</v>
      </c>
      <c r="V79" s="304">
        <f>+P79-J79</f>
        <v>-7448863.120000005</v>
      </c>
      <c r="W79" s="161">
        <f t="shared" si="48"/>
        <v>7782085.330000013</v>
      </c>
      <c r="X79" s="161">
        <f t="shared" si="48"/>
        <v>2892394.829999998</v>
      </c>
      <c r="Y79" s="175">
        <f t="shared" si="48"/>
        <v>3749822.5</v>
      </c>
    </row>
    <row r="80" spans="1:25" ht="15">
      <c r="A80" s="39"/>
      <c r="B80" s="152" t="s">
        <v>412</v>
      </c>
      <c r="C80" s="467"/>
      <c r="D80" s="461">
        <v>105011000</v>
      </c>
      <c r="E80" s="461">
        <v>108968464</v>
      </c>
      <c r="F80" s="462"/>
      <c r="G80" s="476">
        <f>+E80-F80</f>
        <v>108968464</v>
      </c>
      <c r="H80" s="61">
        <v>106690033</v>
      </c>
      <c r="I80" s="37"/>
      <c r="J80" s="248">
        <f>+H80-I80</f>
        <v>106690033</v>
      </c>
      <c r="K80" s="61">
        <v>112072650</v>
      </c>
      <c r="L80" s="37">
        <v>-23153.17</v>
      </c>
      <c r="M80" s="62">
        <f aca="true" t="shared" si="49" ref="M80:M95">K80-L80</f>
        <v>112095803.17</v>
      </c>
      <c r="N80" s="461">
        <v>120722326</v>
      </c>
      <c r="O80" s="462"/>
      <c r="P80" s="62">
        <f aca="true" t="shared" si="50" ref="P80:P96">N80-O80</f>
        <v>120722326</v>
      </c>
      <c r="Q80" s="77">
        <f aca="true" t="shared" si="51" ref="Q80:Q96">+N80-K80</f>
        <v>8649676</v>
      </c>
      <c r="R80" s="181">
        <f aca="true" t="shared" si="52" ref="R80:R96">+O80-L80</f>
        <v>23153.17</v>
      </c>
      <c r="S80" s="491">
        <f aca="true" t="shared" si="53" ref="S80:S96">+P80-M80</f>
        <v>8626522.829999998</v>
      </c>
      <c r="T80" s="61">
        <f aca="true" t="shared" si="54" ref="T80:T95">+N80-H80</f>
        <v>14032293</v>
      </c>
      <c r="U80" s="162">
        <f aca="true" t="shared" si="55" ref="U80:U95">+O80-I80</f>
        <v>0</v>
      </c>
      <c r="V80" s="176">
        <f aca="true" t="shared" si="56" ref="V80:V95">+P80-J80</f>
        <v>14032293</v>
      </c>
      <c r="W80" s="181">
        <f aca="true" t="shared" si="57" ref="W80:W95">+K80-H80</f>
        <v>5382617</v>
      </c>
      <c r="X80" s="181">
        <f aca="true" t="shared" si="58" ref="X80:X95">+L80-I80</f>
        <v>-23153.17</v>
      </c>
      <c r="Y80" s="491">
        <f aca="true" t="shared" si="59" ref="Y80:Y95">+M80-J80</f>
        <v>5405770.170000002</v>
      </c>
    </row>
    <row r="81" spans="1:25" ht="15">
      <c r="A81" s="704"/>
      <c r="B81" s="705" t="s">
        <v>613</v>
      </c>
      <c r="C81" s="467"/>
      <c r="D81" s="461"/>
      <c r="E81" s="461"/>
      <c r="F81" s="462"/>
      <c r="G81" s="476"/>
      <c r="H81" s="461"/>
      <c r="I81" s="462"/>
      <c r="J81" s="476"/>
      <c r="K81" s="461"/>
      <c r="L81" s="462"/>
      <c r="M81" s="476"/>
      <c r="N81" s="461">
        <v>2451714.82</v>
      </c>
      <c r="O81" s="462"/>
      <c r="P81" s="476"/>
      <c r="Q81" s="408"/>
      <c r="R81" s="181"/>
      <c r="S81" s="491"/>
      <c r="T81" s="461"/>
      <c r="U81" s="162"/>
      <c r="V81" s="176"/>
      <c r="W81" s="181"/>
      <c r="X81" s="181"/>
      <c r="Y81" s="491"/>
    </row>
    <row r="82" spans="1:25" ht="15">
      <c r="A82" s="39"/>
      <c r="B82" s="156" t="s">
        <v>257</v>
      </c>
      <c r="C82" s="467"/>
      <c r="D82" s="461"/>
      <c r="E82" s="461">
        <v>15223</v>
      </c>
      <c r="F82" s="462">
        <v>15223</v>
      </c>
      <c r="G82" s="476">
        <f aca="true" t="shared" si="60" ref="G82:G98">+E82-F82</f>
        <v>0</v>
      </c>
      <c r="H82" s="61"/>
      <c r="I82" s="37"/>
      <c r="J82" s="248">
        <f aca="true" t="shared" si="61" ref="J82:J98">+H82-I82</f>
        <v>0</v>
      </c>
      <c r="K82" s="61"/>
      <c r="L82" s="37"/>
      <c r="M82" s="62">
        <f t="shared" si="49"/>
        <v>0</v>
      </c>
      <c r="N82" s="461"/>
      <c r="O82" s="462"/>
      <c r="P82" s="62">
        <f t="shared" si="50"/>
        <v>0</v>
      </c>
      <c r="Q82" s="77">
        <f t="shared" si="51"/>
        <v>0</v>
      </c>
      <c r="R82" s="181">
        <f t="shared" si="52"/>
        <v>0</v>
      </c>
      <c r="S82" s="491">
        <f t="shared" si="53"/>
        <v>0</v>
      </c>
      <c r="T82" s="61">
        <f t="shared" si="54"/>
        <v>0</v>
      </c>
      <c r="U82" s="162">
        <f t="shared" si="55"/>
        <v>0</v>
      </c>
      <c r="V82" s="176">
        <f t="shared" si="56"/>
        <v>0</v>
      </c>
      <c r="W82" s="181">
        <f t="shared" si="57"/>
        <v>0</v>
      </c>
      <c r="X82" s="181">
        <f t="shared" si="58"/>
        <v>0</v>
      </c>
      <c r="Y82" s="491">
        <f t="shared" si="59"/>
        <v>0</v>
      </c>
    </row>
    <row r="83" spans="1:25" ht="15">
      <c r="A83" s="313"/>
      <c r="B83" s="156" t="s">
        <v>371</v>
      </c>
      <c r="C83" s="467"/>
      <c r="D83" s="461">
        <f>146970290-137054305</f>
        <v>9915985</v>
      </c>
      <c r="E83" s="461">
        <v>7953622.16</v>
      </c>
      <c r="F83" s="462">
        <v>7953622</v>
      </c>
      <c r="G83" s="476">
        <f t="shared" si="60"/>
        <v>0.1600000001490116</v>
      </c>
      <c r="H83" s="297"/>
      <c r="I83" s="247"/>
      <c r="J83" s="248">
        <f t="shared" si="61"/>
        <v>0</v>
      </c>
      <c r="K83" s="297"/>
      <c r="L83" s="247"/>
      <c r="M83" s="248"/>
      <c r="N83" s="461"/>
      <c r="O83" s="462"/>
      <c r="P83" s="62">
        <f t="shared" si="50"/>
        <v>0</v>
      </c>
      <c r="Q83" s="77">
        <f t="shared" si="51"/>
        <v>0</v>
      </c>
      <c r="R83" s="181">
        <f t="shared" si="52"/>
        <v>0</v>
      </c>
      <c r="S83" s="491">
        <f t="shared" si="53"/>
        <v>0</v>
      </c>
      <c r="T83" s="61">
        <f t="shared" si="54"/>
        <v>0</v>
      </c>
      <c r="U83" s="162">
        <f t="shared" si="55"/>
        <v>0</v>
      </c>
      <c r="V83" s="176">
        <f t="shared" si="56"/>
        <v>0</v>
      </c>
      <c r="W83" s="181">
        <f t="shared" si="57"/>
        <v>0</v>
      </c>
      <c r="X83" s="181">
        <f t="shared" si="58"/>
        <v>0</v>
      </c>
      <c r="Y83" s="491">
        <f t="shared" si="59"/>
        <v>0</v>
      </c>
    </row>
    <row r="84" spans="1:25" ht="15">
      <c r="A84" s="313"/>
      <c r="B84" s="156" t="s">
        <v>372</v>
      </c>
      <c r="C84" s="467"/>
      <c r="D84" s="461">
        <v>6400224</v>
      </c>
      <c r="E84" s="461">
        <v>6400000</v>
      </c>
      <c r="F84" s="462">
        <v>6400000</v>
      </c>
      <c r="G84" s="476">
        <f t="shared" si="60"/>
        <v>0</v>
      </c>
      <c r="H84" s="297">
        <v>6400000</v>
      </c>
      <c r="I84" s="247">
        <v>6400000</v>
      </c>
      <c r="J84" s="248">
        <f t="shared" si="61"/>
        <v>0</v>
      </c>
      <c r="K84" s="297">
        <v>6930000</v>
      </c>
      <c r="L84" s="247">
        <v>6930000</v>
      </c>
      <c r="M84" s="248"/>
      <c r="N84" s="461">
        <v>5712000</v>
      </c>
      <c r="O84" s="462">
        <v>5712000</v>
      </c>
      <c r="P84" s="62">
        <f t="shared" si="50"/>
        <v>0</v>
      </c>
      <c r="Q84" s="77">
        <f t="shared" si="51"/>
        <v>-1218000</v>
      </c>
      <c r="R84" s="181">
        <f t="shared" si="52"/>
        <v>-1218000</v>
      </c>
      <c r="S84" s="491">
        <f t="shared" si="53"/>
        <v>0</v>
      </c>
      <c r="T84" s="61">
        <f t="shared" si="54"/>
        <v>-688000</v>
      </c>
      <c r="U84" s="162">
        <f t="shared" si="55"/>
        <v>-688000</v>
      </c>
      <c r="V84" s="176">
        <f t="shared" si="56"/>
        <v>0</v>
      </c>
      <c r="W84" s="181">
        <f t="shared" si="57"/>
        <v>530000</v>
      </c>
      <c r="X84" s="181">
        <f t="shared" si="58"/>
        <v>530000</v>
      </c>
      <c r="Y84" s="491">
        <f t="shared" si="59"/>
        <v>0</v>
      </c>
    </row>
    <row r="85" spans="1:25" ht="15">
      <c r="A85" s="313"/>
      <c r="B85" s="156" t="s">
        <v>373</v>
      </c>
      <c r="C85" s="467"/>
      <c r="D85" s="461">
        <f>203000+1662521</f>
        <v>1865521</v>
      </c>
      <c r="E85" s="461">
        <v>4177422.64</v>
      </c>
      <c r="F85" s="462"/>
      <c r="G85" s="476">
        <f t="shared" si="60"/>
        <v>4177422.64</v>
      </c>
      <c r="H85" s="297">
        <v>20881802</v>
      </c>
      <c r="I85" s="247"/>
      <c r="J85" s="248">
        <f t="shared" si="61"/>
        <v>20881802</v>
      </c>
      <c r="K85" s="297">
        <v>4944796</v>
      </c>
      <c r="L85" s="247">
        <v>3804928</v>
      </c>
      <c r="M85" s="248"/>
      <c r="N85" s="461">
        <v>1489631.53</v>
      </c>
      <c r="O85" s="462"/>
      <c r="P85" s="62">
        <f t="shared" si="50"/>
        <v>1489631.53</v>
      </c>
      <c r="Q85" s="77">
        <f t="shared" si="51"/>
        <v>-3455164.4699999997</v>
      </c>
      <c r="R85" s="181">
        <f t="shared" si="52"/>
        <v>-3804928</v>
      </c>
      <c r="S85" s="491">
        <f t="shared" si="53"/>
        <v>1489631.53</v>
      </c>
      <c r="T85" s="61">
        <f t="shared" si="54"/>
        <v>-19392170.47</v>
      </c>
      <c r="U85" s="162">
        <f t="shared" si="55"/>
        <v>0</v>
      </c>
      <c r="V85" s="176">
        <f t="shared" si="56"/>
        <v>-19392170.47</v>
      </c>
      <c r="W85" s="181">
        <f t="shared" si="57"/>
        <v>-15937006</v>
      </c>
      <c r="X85" s="181">
        <f t="shared" si="58"/>
        <v>3804928</v>
      </c>
      <c r="Y85" s="491">
        <f t="shared" si="59"/>
        <v>-20881802</v>
      </c>
    </row>
    <row r="86" spans="1:25" ht="15">
      <c r="A86" s="39"/>
      <c r="B86" s="156" t="s">
        <v>258</v>
      </c>
      <c r="C86" s="467"/>
      <c r="D86" s="461">
        <v>2550000</v>
      </c>
      <c r="E86" s="461">
        <v>2550000</v>
      </c>
      <c r="F86" s="462">
        <v>0</v>
      </c>
      <c r="G86" s="476">
        <f t="shared" si="60"/>
        <v>2550000</v>
      </c>
      <c r="H86" s="61">
        <v>2550000</v>
      </c>
      <c r="I86" s="37"/>
      <c r="J86" s="248">
        <f t="shared" si="61"/>
        <v>2550000</v>
      </c>
      <c r="K86" s="61">
        <v>2550000</v>
      </c>
      <c r="L86" s="37"/>
      <c r="M86" s="62">
        <f t="shared" si="49"/>
        <v>2550000</v>
      </c>
      <c r="N86" s="461">
        <v>2600000</v>
      </c>
      <c r="O86" s="462">
        <v>2600000</v>
      </c>
      <c r="P86" s="62">
        <f>N86-O86</f>
        <v>0</v>
      </c>
      <c r="Q86" s="77">
        <f t="shared" si="51"/>
        <v>50000</v>
      </c>
      <c r="R86" s="181">
        <f t="shared" si="52"/>
        <v>2600000</v>
      </c>
      <c r="S86" s="491">
        <f t="shared" si="53"/>
        <v>-2550000</v>
      </c>
      <c r="T86" s="61">
        <f t="shared" si="54"/>
        <v>50000</v>
      </c>
      <c r="U86" s="162">
        <f t="shared" si="55"/>
        <v>2600000</v>
      </c>
      <c r="V86" s="176">
        <f t="shared" si="56"/>
        <v>-2550000</v>
      </c>
      <c r="W86" s="181">
        <f t="shared" si="57"/>
        <v>0</v>
      </c>
      <c r="X86" s="181">
        <f t="shared" si="58"/>
        <v>0</v>
      </c>
      <c r="Y86" s="491">
        <f t="shared" si="59"/>
        <v>0</v>
      </c>
    </row>
    <row r="87" spans="1:25" ht="15">
      <c r="A87" s="39"/>
      <c r="B87" s="156" t="s">
        <v>259</v>
      </c>
      <c r="C87" s="467"/>
      <c r="D87" s="461">
        <v>3420000</v>
      </c>
      <c r="E87" s="461">
        <v>2754596.05</v>
      </c>
      <c r="F87" s="462">
        <v>2754596</v>
      </c>
      <c r="G87" s="476">
        <f t="shared" si="60"/>
        <v>0.049999999813735485</v>
      </c>
      <c r="H87" s="61">
        <v>3373962</v>
      </c>
      <c r="I87" s="37">
        <v>3373962</v>
      </c>
      <c r="J87" s="248">
        <f t="shared" si="61"/>
        <v>0</v>
      </c>
      <c r="K87" s="61">
        <v>3374607</v>
      </c>
      <c r="L87" s="37">
        <v>3450516</v>
      </c>
      <c r="M87" s="62">
        <f t="shared" si="49"/>
        <v>-75909</v>
      </c>
      <c r="N87" s="461">
        <v>3488573.01</v>
      </c>
      <c r="O87" s="462">
        <v>3488573.01</v>
      </c>
      <c r="P87" s="62">
        <f t="shared" si="50"/>
        <v>0</v>
      </c>
      <c r="Q87" s="77">
        <f t="shared" si="51"/>
        <v>113966.00999999978</v>
      </c>
      <c r="R87" s="181">
        <f t="shared" si="52"/>
        <v>38057.00999999978</v>
      </c>
      <c r="S87" s="491">
        <f t="shared" si="53"/>
        <v>75909</v>
      </c>
      <c r="T87" s="61">
        <f t="shared" si="54"/>
        <v>114611.00999999978</v>
      </c>
      <c r="U87" s="162">
        <f t="shared" si="55"/>
        <v>114611.00999999978</v>
      </c>
      <c r="V87" s="176">
        <f t="shared" si="56"/>
        <v>0</v>
      </c>
      <c r="W87" s="181">
        <f t="shared" si="57"/>
        <v>645</v>
      </c>
      <c r="X87" s="181">
        <f t="shared" si="58"/>
        <v>76554</v>
      </c>
      <c r="Y87" s="491">
        <f t="shared" si="59"/>
        <v>-75909</v>
      </c>
    </row>
    <row r="88" spans="1:25" ht="15">
      <c r="A88" s="39"/>
      <c r="B88" s="156" t="s">
        <v>264</v>
      </c>
      <c r="C88" s="467"/>
      <c r="D88" s="461">
        <v>166629</v>
      </c>
      <c r="E88" s="461">
        <v>7408534.27</v>
      </c>
      <c r="F88" s="462">
        <v>7408534</v>
      </c>
      <c r="G88" s="476">
        <f t="shared" si="60"/>
        <v>0.26999999955296516</v>
      </c>
      <c r="H88" s="61">
        <v>2537226</v>
      </c>
      <c r="I88" s="37">
        <v>2537226</v>
      </c>
      <c r="J88" s="248">
        <f t="shared" si="61"/>
        <v>0</v>
      </c>
      <c r="K88" s="61"/>
      <c r="L88" s="37"/>
      <c r="M88" s="62">
        <f t="shared" si="49"/>
        <v>0</v>
      </c>
      <c r="N88" s="461"/>
      <c r="O88" s="462"/>
      <c r="P88" s="62">
        <f t="shared" si="50"/>
        <v>0</v>
      </c>
      <c r="Q88" s="77">
        <f t="shared" si="51"/>
        <v>0</v>
      </c>
      <c r="R88" s="181">
        <f t="shared" si="52"/>
        <v>0</v>
      </c>
      <c r="S88" s="491">
        <f t="shared" si="53"/>
        <v>0</v>
      </c>
      <c r="T88" s="61">
        <f t="shared" si="54"/>
        <v>-2537226</v>
      </c>
      <c r="U88" s="162">
        <f t="shared" si="55"/>
        <v>-2537226</v>
      </c>
      <c r="V88" s="176">
        <f t="shared" si="56"/>
        <v>0</v>
      </c>
      <c r="W88" s="181">
        <f t="shared" si="57"/>
        <v>-2537226</v>
      </c>
      <c r="X88" s="181">
        <f t="shared" si="58"/>
        <v>-2537226</v>
      </c>
      <c r="Y88" s="491">
        <f t="shared" si="59"/>
        <v>0</v>
      </c>
    </row>
    <row r="89" spans="1:25" ht="15">
      <c r="A89" s="39"/>
      <c r="B89" s="156" t="s">
        <v>265</v>
      </c>
      <c r="C89" s="467"/>
      <c r="D89" s="463"/>
      <c r="E89" s="463"/>
      <c r="F89" s="314"/>
      <c r="G89" s="476">
        <f t="shared" si="60"/>
        <v>0</v>
      </c>
      <c r="H89" s="61"/>
      <c r="I89" s="37"/>
      <c r="J89" s="248">
        <f t="shared" si="61"/>
        <v>0</v>
      </c>
      <c r="K89" s="61">
        <v>85000</v>
      </c>
      <c r="L89" s="37"/>
      <c r="M89" s="62">
        <f t="shared" si="49"/>
        <v>85000</v>
      </c>
      <c r="N89" s="461">
        <v>1250000</v>
      </c>
      <c r="O89" s="462"/>
      <c r="P89" s="62">
        <f t="shared" si="50"/>
        <v>1250000</v>
      </c>
      <c r="Q89" s="77">
        <f t="shared" si="51"/>
        <v>1165000</v>
      </c>
      <c r="R89" s="181">
        <f t="shared" si="52"/>
        <v>0</v>
      </c>
      <c r="S89" s="491">
        <f t="shared" si="53"/>
        <v>1165000</v>
      </c>
      <c r="T89" s="61">
        <f t="shared" si="54"/>
        <v>1250000</v>
      </c>
      <c r="U89" s="162">
        <f t="shared" si="55"/>
        <v>0</v>
      </c>
      <c r="V89" s="176">
        <f t="shared" si="56"/>
        <v>1250000</v>
      </c>
      <c r="W89" s="181">
        <f t="shared" si="57"/>
        <v>85000</v>
      </c>
      <c r="X89" s="181">
        <f t="shared" si="58"/>
        <v>0</v>
      </c>
      <c r="Y89" s="491">
        <f t="shared" si="59"/>
        <v>85000</v>
      </c>
    </row>
    <row r="90" spans="1:25" ht="15">
      <c r="A90" s="39"/>
      <c r="B90" s="156" t="s">
        <v>266</v>
      </c>
      <c r="C90" s="467"/>
      <c r="D90" s="463">
        <v>499629</v>
      </c>
      <c r="E90" s="463">
        <v>8083.7</v>
      </c>
      <c r="F90" s="314"/>
      <c r="G90" s="476">
        <f t="shared" si="60"/>
        <v>8083.7</v>
      </c>
      <c r="H90" s="61"/>
      <c r="I90" s="37"/>
      <c r="J90" s="248">
        <f t="shared" si="61"/>
        <v>0</v>
      </c>
      <c r="K90" s="61"/>
      <c r="L90" s="37"/>
      <c r="M90" s="62">
        <f t="shared" si="49"/>
        <v>0</v>
      </c>
      <c r="N90" s="461"/>
      <c r="O90" s="462"/>
      <c r="P90" s="62">
        <f t="shared" si="50"/>
        <v>0</v>
      </c>
      <c r="Q90" s="77">
        <f t="shared" si="51"/>
        <v>0</v>
      </c>
      <c r="R90" s="181">
        <f t="shared" si="52"/>
        <v>0</v>
      </c>
      <c r="S90" s="491">
        <f t="shared" si="53"/>
        <v>0</v>
      </c>
      <c r="T90" s="61">
        <f t="shared" si="54"/>
        <v>0</v>
      </c>
      <c r="U90" s="162">
        <f t="shared" si="55"/>
        <v>0</v>
      </c>
      <c r="V90" s="176">
        <f t="shared" si="56"/>
        <v>0</v>
      </c>
      <c r="W90" s="181">
        <f t="shared" si="57"/>
        <v>0</v>
      </c>
      <c r="X90" s="181">
        <f t="shared" si="58"/>
        <v>0</v>
      </c>
      <c r="Y90" s="491">
        <f t="shared" si="59"/>
        <v>0</v>
      </c>
    </row>
    <row r="91" spans="1:25" ht="15">
      <c r="A91" s="39"/>
      <c r="B91" s="156" t="s">
        <v>267</v>
      </c>
      <c r="C91" s="467"/>
      <c r="D91" s="463"/>
      <c r="E91" s="463">
        <v>467860</v>
      </c>
      <c r="F91" s="314">
        <v>467860</v>
      </c>
      <c r="G91" s="476">
        <f t="shared" si="60"/>
        <v>0</v>
      </c>
      <c r="H91" s="61">
        <v>184529.67</v>
      </c>
      <c r="I91" s="37">
        <v>184530</v>
      </c>
      <c r="J91" s="248">
        <f t="shared" si="61"/>
        <v>-0.3299999999871943</v>
      </c>
      <c r="K91" s="61"/>
      <c r="L91" s="37"/>
      <c r="M91" s="62">
        <f t="shared" si="49"/>
        <v>0</v>
      </c>
      <c r="N91" s="461"/>
      <c r="O91" s="462"/>
      <c r="P91" s="62">
        <f t="shared" si="50"/>
        <v>0</v>
      </c>
      <c r="Q91" s="77">
        <f t="shared" si="51"/>
        <v>0</v>
      </c>
      <c r="R91" s="181">
        <f t="shared" si="52"/>
        <v>0</v>
      </c>
      <c r="S91" s="491">
        <f t="shared" si="53"/>
        <v>0</v>
      </c>
      <c r="T91" s="61">
        <f t="shared" si="54"/>
        <v>-184529.67</v>
      </c>
      <c r="U91" s="162">
        <f t="shared" si="55"/>
        <v>-184530</v>
      </c>
      <c r="V91" s="176">
        <f t="shared" si="56"/>
        <v>0.3299999999871943</v>
      </c>
      <c r="W91" s="181">
        <f t="shared" si="57"/>
        <v>-184529.67</v>
      </c>
      <c r="X91" s="181">
        <f t="shared" si="58"/>
        <v>-184530</v>
      </c>
      <c r="Y91" s="491">
        <f t="shared" si="59"/>
        <v>0.3299999999871943</v>
      </c>
    </row>
    <row r="92" spans="1:25" ht="15">
      <c r="A92" s="39"/>
      <c r="B92" s="156" t="s">
        <v>268</v>
      </c>
      <c r="C92" s="467"/>
      <c r="D92" s="463">
        <v>7290461</v>
      </c>
      <c r="E92" s="463">
        <v>7657255.06</v>
      </c>
      <c r="F92" s="314">
        <v>7657255</v>
      </c>
      <c r="G92" s="476">
        <f t="shared" si="60"/>
        <v>0.05999999959021807</v>
      </c>
      <c r="H92" s="61">
        <v>10712321</v>
      </c>
      <c r="I92" s="37">
        <v>10712321</v>
      </c>
      <c r="J92" s="248">
        <f t="shared" si="61"/>
        <v>0</v>
      </c>
      <c r="K92" s="61">
        <v>11938143</v>
      </c>
      <c r="L92" s="37">
        <v>11938143</v>
      </c>
      <c r="M92" s="62">
        <f t="shared" si="49"/>
        <v>0</v>
      </c>
      <c r="N92" s="461">
        <v>2184260.38</v>
      </c>
      <c r="O92" s="462">
        <v>2184260.38</v>
      </c>
      <c r="P92" s="62">
        <f t="shared" si="50"/>
        <v>0</v>
      </c>
      <c r="Q92" s="77">
        <f t="shared" si="51"/>
        <v>-9753882.620000001</v>
      </c>
      <c r="R92" s="181">
        <f t="shared" si="52"/>
        <v>-9753882.620000001</v>
      </c>
      <c r="S92" s="491">
        <f t="shared" si="53"/>
        <v>0</v>
      </c>
      <c r="T92" s="61">
        <f t="shared" si="54"/>
        <v>-8528060.620000001</v>
      </c>
      <c r="U92" s="162">
        <f t="shared" si="55"/>
        <v>-8528060.620000001</v>
      </c>
      <c r="V92" s="176">
        <f t="shared" si="56"/>
        <v>0</v>
      </c>
      <c r="W92" s="181">
        <f t="shared" si="57"/>
        <v>1225822</v>
      </c>
      <c r="X92" s="181">
        <f t="shared" si="58"/>
        <v>1225822</v>
      </c>
      <c r="Y92" s="491">
        <f t="shared" si="59"/>
        <v>0</v>
      </c>
    </row>
    <row r="93" spans="1:25" ht="15">
      <c r="A93" s="39"/>
      <c r="B93" s="156" t="s">
        <v>269</v>
      </c>
      <c r="C93" s="467"/>
      <c r="D93" s="463"/>
      <c r="E93" s="463">
        <v>11710814.7</v>
      </c>
      <c r="F93" s="314">
        <v>-96185</v>
      </c>
      <c r="G93" s="476">
        <f t="shared" si="60"/>
        <v>11806999.7</v>
      </c>
      <c r="H93" s="61">
        <v>-12458164</v>
      </c>
      <c r="I93" s="37"/>
      <c r="J93" s="248">
        <f t="shared" si="61"/>
        <v>-12458164</v>
      </c>
      <c r="K93" s="61">
        <v>3926659</v>
      </c>
      <c r="L93" s="37"/>
      <c r="M93" s="62">
        <f t="shared" si="49"/>
        <v>3926659</v>
      </c>
      <c r="N93" s="461">
        <v>24344433.02</v>
      </c>
      <c r="O93" s="462">
        <v>24344433</v>
      </c>
      <c r="P93" s="62">
        <f t="shared" si="50"/>
        <v>0.019999999552965164</v>
      </c>
      <c r="Q93" s="77">
        <f t="shared" si="51"/>
        <v>20417774.02</v>
      </c>
      <c r="R93" s="181">
        <f t="shared" si="52"/>
        <v>24344433</v>
      </c>
      <c r="S93" s="491">
        <f t="shared" si="53"/>
        <v>-3926658.9800000004</v>
      </c>
      <c r="T93" s="61">
        <f t="shared" si="54"/>
        <v>36802597.019999996</v>
      </c>
      <c r="U93" s="162">
        <f t="shared" si="55"/>
        <v>24344433</v>
      </c>
      <c r="V93" s="176">
        <f t="shared" si="56"/>
        <v>12458164.02</v>
      </c>
      <c r="W93" s="181">
        <f t="shared" si="57"/>
        <v>16384823</v>
      </c>
      <c r="X93" s="181">
        <f t="shared" si="58"/>
        <v>0</v>
      </c>
      <c r="Y93" s="491">
        <f t="shared" si="59"/>
        <v>16384823</v>
      </c>
    </row>
    <row r="94" spans="1:25" ht="15">
      <c r="A94" s="39"/>
      <c r="B94" s="156" t="s">
        <v>270</v>
      </c>
      <c r="C94" s="467"/>
      <c r="D94" s="463">
        <v>9475290</v>
      </c>
      <c r="E94" s="463">
        <v>14396421</v>
      </c>
      <c r="F94" s="314">
        <v>0</v>
      </c>
      <c r="G94" s="476">
        <f t="shared" si="60"/>
        <v>14396421</v>
      </c>
      <c r="H94" s="61">
        <v>19073737</v>
      </c>
      <c r="I94" s="37"/>
      <c r="J94" s="248">
        <f t="shared" si="61"/>
        <v>19073737</v>
      </c>
      <c r="K94" s="61">
        <v>10131599</v>
      </c>
      <c r="L94" s="37"/>
      <c r="M94" s="62">
        <f t="shared" si="49"/>
        <v>10131599</v>
      </c>
      <c r="N94" s="461">
        <v>9851256</v>
      </c>
      <c r="O94" s="462"/>
      <c r="P94" s="62">
        <f t="shared" si="50"/>
        <v>9851256</v>
      </c>
      <c r="Q94" s="77">
        <f t="shared" si="51"/>
        <v>-280343</v>
      </c>
      <c r="R94" s="181">
        <f t="shared" si="52"/>
        <v>0</v>
      </c>
      <c r="S94" s="491">
        <f t="shared" si="53"/>
        <v>-280343</v>
      </c>
      <c r="T94" s="61">
        <f t="shared" si="54"/>
        <v>-9222481</v>
      </c>
      <c r="U94" s="162">
        <f t="shared" si="55"/>
        <v>0</v>
      </c>
      <c r="V94" s="176">
        <f t="shared" si="56"/>
        <v>-9222481</v>
      </c>
      <c r="W94" s="181">
        <f t="shared" si="57"/>
        <v>-8942138</v>
      </c>
      <c r="X94" s="181">
        <f t="shared" si="58"/>
        <v>0</v>
      </c>
      <c r="Y94" s="491">
        <f t="shared" si="59"/>
        <v>-8942138</v>
      </c>
    </row>
    <row r="95" spans="1:25" ht="15">
      <c r="A95" s="39"/>
      <c r="B95" s="156" t="s">
        <v>288</v>
      </c>
      <c r="C95" s="467"/>
      <c r="D95" s="463">
        <v>375551</v>
      </c>
      <c r="E95" s="463">
        <v>3549437</v>
      </c>
      <c r="F95" s="314">
        <v>0</v>
      </c>
      <c r="G95" s="476">
        <f t="shared" si="60"/>
        <v>3549437</v>
      </c>
      <c r="H95" s="61">
        <v>7659695</v>
      </c>
      <c r="I95" s="37"/>
      <c r="J95" s="248">
        <f t="shared" si="61"/>
        <v>7659695</v>
      </c>
      <c r="K95" s="61">
        <v>19433773</v>
      </c>
      <c r="L95" s="37"/>
      <c r="M95" s="62">
        <f t="shared" si="49"/>
        <v>19433773</v>
      </c>
      <c r="N95" s="461">
        <v>3635026</v>
      </c>
      <c r="O95" s="462"/>
      <c r="P95" s="62">
        <f t="shared" si="50"/>
        <v>3635026</v>
      </c>
      <c r="Q95" s="77">
        <f t="shared" si="51"/>
        <v>-15798747</v>
      </c>
      <c r="R95" s="181">
        <f t="shared" si="52"/>
        <v>0</v>
      </c>
      <c r="S95" s="491">
        <f t="shared" si="53"/>
        <v>-15798747</v>
      </c>
      <c r="T95" s="61">
        <f t="shared" si="54"/>
        <v>-4024669</v>
      </c>
      <c r="U95" s="162">
        <f t="shared" si="55"/>
        <v>0</v>
      </c>
      <c r="V95" s="176">
        <f t="shared" si="56"/>
        <v>-4024669</v>
      </c>
      <c r="W95" s="181">
        <f t="shared" si="57"/>
        <v>11774078</v>
      </c>
      <c r="X95" s="181">
        <f t="shared" si="58"/>
        <v>0</v>
      </c>
      <c r="Y95" s="491">
        <f t="shared" si="59"/>
        <v>11774078</v>
      </c>
    </row>
    <row r="96" spans="1:25" s="89" customFormat="1" ht="29.25" thickBot="1">
      <c r="A96" s="306">
        <v>74</v>
      </c>
      <c r="B96" s="307" t="s">
        <v>165</v>
      </c>
      <c r="C96" s="472" t="s">
        <v>166</v>
      </c>
      <c r="D96" s="348">
        <v>0</v>
      </c>
      <c r="E96" s="348">
        <v>0</v>
      </c>
      <c r="F96" s="349">
        <v>0</v>
      </c>
      <c r="G96" s="350">
        <f t="shared" si="60"/>
        <v>0</v>
      </c>
      <c r="H96" s="251">
        <v>0</v>
      </c>
      <c r="I96" s="252">
        <v>0</v>
      </c>
      <c r="J96" s="253">
        <f t="shared" si="61"/>
        <v>0</v>
      </c>
      <c r="K96" s="308"/>
      <c r="L96" s="311"/>
      <c r="M96" s="310"/>
      <c r="N96" s="308">
        <v>0</v>
      </c>
      <c r="O96" s="311">
        <v>0</v>
      </c>
      <c r="P96" s="62">
        <f t="shared" si="50"/>
        <v>0</v>
      </c>
      <c r="Q96" s="72">
        <f t="shared" si="51"/>
        <v>0</v>
      </c>
      <c r="R96" s="161">
        <f t="shared" si="52"/>
        <v>0</v>
      </c>
      <c r="S96" s="175">
        <f t="shared" si="53"/>
        <v>0</v>
      </c>
      <c r="T96" s="308">
        <f>+N96-H96</f>
        <v>0</v>
      </c>
      <c r="U96" s="309">
        <f>+O96-I96</f>
        <v>0</v>
      </c>
      <c r="V96" s="312">
        <f>+P96-J96</f>
        <v>0</v>
      </c>
      <c r="W96" s="309">
        <f aca="true" t="shared" si="62" ref="W96:Y98">+K96-H96</f>
        <v>0</v>
      </c>
      <c r="X96" s="309">
        <f t="shared" si="62"/>
        <v>0</v>
      </c>
      <c r="Y96" s="312">
        <f t="shared" si="62"/>
        <v>0</v>
      </c>
    </row>
    <row r="97" spans="1:25" s="89" customFormat="1" ht="27.75" customHeight="1" thickBot="1">
      <c r="A97" s="43">
        <v>75</v>
      </c>
      <c r="B97" s="44" t="s">
        <v>186</v>
      </c>
      <c r="C97" s="473" t="s">
        <v>40</v>
      </c>
      <c r="D97" s="67">
        <f>D56-D8-D44-D50</f>
        <v>14274814.980000025</v>
      </c>
      <c r="E97" s="67">
        <f>E56-E8-E44-E50</f>
        <v>8268651.579999983</v>
      </c>
      <c r="F97" s="67">
        <f>F56-F8-F44-F50</f>
        <v>-17963588</v>
      </c>
      <c r="G97" s="168">
        <f t="shared" si="60"/>
        <v>26232239.579999983</v>
      </c>
      <c r="H97" s="67">
        <f>H56-H8-H44-H50</f>
        <v>10059619.999999998</v>
      </c>
      <c r="I97" s="67">
        <f>I56-I8-I44-I50</f>
        <v>-8245836.310000002</v>
      </c>
      <c r="J97" s="168">
        <f t="shared" si="61"/>
        <v>18305456.310000002</v>
      </c>
      <c r="K97" s="67">
        <f>K56-K8-K44-K50</f>
        <v>22748316</v>
      </c>
      <c r="L97" s="67">
        <f>L56-L8-L44-L50</f>
        <v>-9621856.170000002</v>
      </c>
      <c r="M97" s="168">
        <f>K97-L97</f>
        <v>32370172.17</v>
      </c>
      <c r="N97" s="67">
        <f>N56-N8-N44-N50</f>
        <v>9058090.75999999</v>
      </c>
      <c r="O97" s="67">
        <f>O56-O8-O44-O50</f>
        <v>-5100255.009999998</v>
      </c>
      <c r="P97" s="168">
        <f>N97-O97</f>
        <v>14158345.769999988</v>
      </c>
      <c r="Q97" s="67">
        <f aca="true" t="shared" si="63" ref="Q97:S98">+N97-K97</f>
        <v>-13690225.24000001</v>
      </c>
      <c r="R97" s="166">
        <f t="shared" si="63"/>
        <v>4521601.160000004</v>
      </c>
      <c r="S97" s="180">
        <f t="shared" si="63"/>
        <v>-18211826.400000013</v>
      </c>
      <c r="T97" s="67">
        <f>+N97-H97</f>
        <v>-1001529.2400000077</v>
      </c>
      <c r="U97" s="166">
        <f>+O97-I97</f>
        <v>3145581.3000000045</v>
      </c>
      <c r="V97" s="180">
        <f>+P97-J97</f>
        <v>-4147110.540000014</v>
      </c>
      <c r="W97" s="166">
        <f t="shared" si="62"/>
        <v>12688696.000000002</v>
      </c>
      <c r="X97" s="166">
        <f t="shared" si="62"/>
        <v>-1376019.8599999994</v>
      </c>
      <c r="Y97" s="180">
        <f t="shared" si="62"/>
        <v>14064715.86</v>
      </c>
    </row>
    <row r="98" spans="1:25" s="89" customFormat="1" ht="27.75" customHeight="1" thickBot="1">
      <c r="A98" s="43">
        <v>76</v>
      </c>
      <c r="B98" s="44" t="s">
        <v>263</v>
      </c>
      <c r="C98" s="473"/>
      <c r="D98" s="67">
        <f>D56-D7</f>
        <v>3203144.75</v>
      </c>
      <c r="E98" s="67">
        <f>E56-E7</f>
        <v>4542.579999983311</v>
      </c>
      <c r="F98" s="67">
        <f>F56-F7</f>
        <v>-17963588</v>
      </c>
      <c r="G98" s="168">
        <f t="shared" si="60"/>
        <v>17968130.579999983</v>
      </c>
      <c r="H98" s="67">
        <f>H56-H7</f>
        <v>3485027.430000007</v>
      </c>
      <c r="I98" s="67">
        <f>I56-I7</f>
        <v>-8245836.310000002</v>
      </c>
      <c r="J98" s="168">
        <f t="shared" si="61"/>
        <v>11730863.74000001</v>
      </c>
      <c r="K98" s="67">
        <f>K56-K7</f>
        <v>14922358</v>
      </c>
      <c r="L98" s="67">
        <f>L56-L7</f>
        <v>-9621856.170000002</v>
      </c>
      <c r="M98" s="168">
        <f>K98-L98</f>
        <v>24544214.17</v>
      </c>
      <c r="N98" s="67">
        <f>N56-N7</f>
        <v>5094985.75999999</v>
      </c>
      <c r="O98" s="67">
        <f>O56-O7</f>
        <v>-5100255.009999998</v>
      </c>
      <c r="P98" s="168">
        <f>N98-O98</f>
        <v>10195240.769999988</v>
      </c>
      <c r="Q98" s="67">
        <f t="shared" si="63"/>
        <v>-9827372.24000001</v>
      </c>
      <c r="R98" s="166">
        <f t="shared" si="63"/>
        <v>4521601.160000004</v>
      </c>
      <c r="S98" s="180">
        <f t="shared" si="63"/>
        <v>-14348973.400000013</v>
      </c>
      <c r="T98" s="67">
        <f>+N98-H98</f>
        <v>1609958.3299999833</v>
      </c>
      <c r="U98" s="166">
        <f>+O98-I98</f>
        <v>3145581.3000000045</v>
      </c>
      <c r="V98" s="180">
        <f>+P98-J98</f>
        <v>-1535622.9700000212</v>
      </c>
      <c r="W98" s="166">
        <f t="shared" si="62"/>
        <v>11437330.569999993</v>
      </c>
      <c r="X98" s="166">
        <f t="shared" si="62"/>
        <v>-1376019.8599999994</v>
      </c>
      <c r="Y98" s="180">
        <f t="shared" si="62"/>
        <v>12813350.429999992</v>
      </c>
    </row>
    <row r="99" spans="1:25" ht="15">
      <c r="A99" s="32"/>
      <c r="B99" s="155"/>
      <c r="C99" s="32"/>
      <c r="D99" s="32"/>
      <c r="E99" s="32"/>
      <c r="F99" s="32"/>
      <c r="G99" s="32"/>
      <c r="H99" s="33"/>
      <c r="I99" s="33"/>
      <c r="J99" s="33"/>
      <c r="K99" s="33"/>
      <c r="L99" s="33"/>
      <c r="M99" s="34"/>
      <c r="N99" s="35"/>
      <c r="O99" s="35"/>
      <c r="P99" s="35"/>
      <c r="Q99" s="35"/>
      <c r="R99" s="35"/>
      <c r="S99" s="35"/>
      <c r="T99" s="33"/>
      <c r="U99" s="33"/>
      <c r="V99" s="32"/>
      <c r="W99" s="32"/>
      <c r="X99" s="32"/>
      <c r="Y99" s="32"/>
    </row>
    <row r="100" spans="1:25" ht="15">
      <c r="A100" s="1" t="s">
        <v>167</v>
      </c>
      <c r="B100" s="155"/>
      <c r="C100" s="32"/>
      <c r="D100" s="32"/>
      <c r="E100" s="32"/>
      <c r="F100" s="32"/>
      <c r="G100" s="32"/>
      <c r="H100" s="33"/>
      <c r="I100" s="33"/>
      <c r="J100" s="33"/>
      <c r="K100" s="33"/>
      <c r="L100" s="33"/>
      <c r="M100" s="33"/>
      <c r="N100" s="35"/>
      <c r="O100" s="35"/>
      <c r="P100" s="35"/>
      <c r="Q100" s="35"/>
      <c r="R100" s="35"/>
      <c r="S100" s="35"/>
      <c r="T100" s="33"/>
      <c r="U100" s="33"/>
      <c r="V100" s="32"/>
      <c r="W100" s="32"/>
      <c r="X100" s="32"/>
      <c r="Y100" s="32"/>
    </row>
    <row r="101" spans="1:25" ht="15">
      <c r="A101" s="2" t="s">
        <v>363</v>
      </c>
      <c r="B101" s="155"/>
      <c r="C101" s="32"/>
      <c r="D101" s="32"/>
      <c r="E101" s="32"/>
      <c r="F101" s="32"/>
      <c r="G101" s="32"/>
      <c r="H101" s="33"/>
      <c r="I101" s="33"/>
      <c r="J101" s="33"/>
      <c r="K101" s="33"/>
      <c r="L101" s="33"/>
      <c r="M101" s="33"/>
      <c r="N101" s="35"/>
      <c r="O101" s="35"/>
      <c r="P101" s="35"/>
      <c r="Q101" s="35"/>
      <c r="R101" s="35"/>
      <c r="S101" s="35"/>
      <c r="T101" s="33"/>
      <c r="U101" s="33"/>
      <c r="V101" s="32"/>
      <c r="W101" s="32"/>
      <c r="X101" s="32"/>
      <c r="Y101" s="32"/>
    </row>
    <row r="102" spans="1:25" ht="15">
      <c r="A102" s="2" t="s">
        <v>364</v>
      </c>
      <c r="B102" s="155"/>
      <c r="C102" s="32"/>
      <c r="D102" s="32"/>
      <c r="E102" s="32"/>
      <c r="F102" s="32"/>
      <c r="G102" s="32"/>
      <c r="H102" s="33"/>
      <c r="I102" s="33"/>
      <c r="J102" s="33"/>
      <c r="K102" s="33"/>
      <c r="L102" s="33"/>
      <c r="M102" s="33"/>
      <c r="N102" s="35"/>
      <c r="O102" s="35"/>
      <c r="P102" s="35"/>
      <c r="Q102" s="35"/>
      <c r="R102" s="35"/>
      <c r="S102" s="35"/>
      <c r="T102" s="33"/>
      <c r="U102" s="33"/>
      <c r="V102" s="32"/>
      <c r="W102" s="32"/>
      <c r="X102" s="32"/>
      <c r="Y102" s="32"/>
    </row>
    <row r="103" spans="1:25" ht="15">
      <c r="A103" s="2"/>
      <c r="B103" s="155"/>
      <c r="C103" s="32"/>
      <c r="D103" s="32"/>
      <c r="E103" s="32"/>
      <c r="F103" s="32"/>
      <c r="G103" s="32"/>
      <c r="H103" s="33"/>
      <c r="I103" s="33"/>
      <c r="J103" s="33"/>
      <c r="K103" s="33"/>
      <c r="L103" s="33"/>
      <c r="M103" s="33"/>
      <c r="N103" s="35"/>
      <c r="O103" s="35"/>
      <c r="P103" s="35"/>
      <c r="Q103" s="35"/>
      <c r="R103" s="35"/>
      <c r="S103" s="35"/>
      <c r="T103" s="33"/>
      <c r="U103" s="33"/>
      <c r="V103" s="32"/>
      <c r="W103" s="32"/>
      <c r="X103" s="32"/>
      <c r="Y103" s="32"/>
    </row>
  </sheetData>
  <sheetProtection/>
  <mergeCells count="13">
    <mergeCell ref="N5:P5"/>
    <mergeCell ref="T5:V5"/>
    <mergeCell ref="W5:Y5"/>
    <mergeCell ref="A1:Y1"/>
    <mergeCell ref="A4:A6"/>
    <mergeCell ref="B4:B6"/>
    <mergeCell ref="C4:C6"/>
    <mergeCell ref="H5:J5"/>
    <mergeCell ref="K5:M5"/>
    <mergeCell ref="E5:G5"/>
    <mergeCell ref="D4:M4"/>
    <mergeCell ref="N4:P4"/>
    <mergeCell ref="Q5:S5"/>
  </mergeCells>
  <printOptions/>
  <pageMargins left="0.5511811023622047" right="0.15748031496062992" top="0.7480314960629921" bottom="0.3937007874015748" header="0.3937007874015748" footer="0.15748031496062992"/>
  <pageSetup fitToHeight="0" fitToWidth="1" horizontalDpi="600" verticalDpi="600" orientation="landscape" paperSize="8" scale="4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74.140625" style="3" customWidth="1"/>
    <col min="2" max="2" width="23.140625" style="3" customWidth="1"/>
    <col min="3" max="16384" width="9.140625" style="3" customWidth="1"/>
  </cols>
  <sheetData>
    <row r="1" spans="1:2" ht="21" customHeight="1" thickBot="1">
      <c r="A1" s="790" t="s">
        <v>279</v>
      </c>
      <c r="B1" s="791"/>
    </row>
  </sheetData>
  <sheetProtection/>
  <mergeCells count="1">
    <mergeCell ref="A1:B1"/>
  </mergeCells>
  <printOptions/>
  <pageMargins left="0.7086614173228347" right="0.7086614173228347" top="0.7874015748031497" bottom="0.7874015748031497" header="0.31496062992125984" footer="0.31496062992125984"/>
  <pageSetup fitToHeight="0" fitToWidth="1" horizontalDpi="1800" verticalDpi="18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X15"/>
  <sheetViews>
    <sheetView zoomScalePageLayoutView="0" workbookViewId="0" topLeftCell="A1">
      <selection activeCell="L71" sqref="L71"/>
    </sheetView>
  </sheetViews>
  <sheetFormatPr defaultColWidth="9.140625" defaultRowHeight="15"/>
  <cols>
    <col min="1" max="1" width="26.7109375" style="0" customWidth="1"/>
    <col min="2" max="2" width="11.421875" style="0" customWidth="1"/>
    <col min="3" max="3" width="11.7109375" style="0" customWidth="1"/>
    <col min="4" max="6" width="15.7109375" style="0" customWidth="1"/>
    <col min="8" max="8" width="23.00390625" style="0" customWidth="1"/>
    <col min="9" max="13" width="10.57421875" style="0" customWidth="1"/>
    <col min="19" max="19" width="2.8515625" style="0" customWidth="1"/>
    <col min="20" max="23" width="10.8515625" style="0" bestFit="1" customWidth="1"/>
    <col min="24" max="24" width="10.00390625" style="0" bestFit="1" customWidth="1"/>
  </cols>
  <sheetData>
    <row r="1" spans="1:24" ht="15">
      <c r="A1" s="682" t="s">
        <v>559</v>
      </c>
      <c r="B1" s="683">
        <v>2014</v>
      </c>
      <c r="C1" s="683">
        <v>2015</v>
      </c>
      <c r="D1" s="683">
        <v>2016</v>
      </c>
      <c r="E1" s="683">
        <v>2017</v>
      </c>
      <c r="F1" s="683">
        <v>2018</v>
      </c>
      <c r="G1" s="684"/>
      <c r="H1" s="684"/>
      <c r="I1" s="683">
        <v>2014</v>
      </c>
      <c r="J1" s="683">
        <v>2015</v>
      </c>
      <c r="K1" s="683">
        <v>2016</v>
      </c>
      <c r="L1" s="683">
        <v>2017</v>
      </c>
      <c r="M1" s="683">
        <v>2018</v>
      </c>
      <c r="T1" s="685">
        <v>2014</v>
      </c>
      <c r="U1" s="685">
        <v>2015</v>
      </c>
      <c r="V1" s="685">
        <v>2016</v>
      </c>
      <c r="W1" s="685">
        <v>2017</v>
      </c>
      <c r="X1" s="685">
        <v>2018</v>
      </c>
    </row>
    <row r="2" spans="1:24" ht="15">
      <c r="A2" s="686" t="s">
        <v>560</v>
      </c>
      <c r="B2" s="687">
        <f>SUM(B3:B13)</f>
        <v>343637512.63</v>
      </c>
      <c r="C2" s="687">
        <f>SUM(C3:C13)</f>
        <v>360652642</v>
      </c>
      <c r="D2" s="687">
        <f>SUM(D3:D13)</f>
        <v>380217081.28</v>
      </c>
      <c r="E2" s="687">
        <f>SUM(E3:E13)</f>
        <v>342146123</v>
      </c>
      <c r="F2" s="687">
        <f>SUM(F3:F13)</f>
        <v>344877744</v>
      </c>
      <c r="G2" s="684"/>
      <c r="H2" s="688" t="s">
        <v>561</v>
      </c>
      <c r="I2" s="689">
        <f>'Přehled o rozpočtu_HČ'!D57+'Přehled o rozpočtu_HČ'!D72</f>
        <v>199870367.38</v>
      </c>
      <c r="J2" s="689">
        <f>'Přehled o rozpočtu_HČ'!E57+'Přehled o rozpočtu_HČ'!E72</f>
        <v>182639451</v>
      </c>
      <c r="K2" s="689">
        <f>'Přehled o rozpočtu_HČ'!H57+'Přehled o rozpočtu_HČ'!H72</f>
        <v>216096967.04000002</v>
      </c>
      <c r="L2" s="689">
        <f>'Přehled o rozpočtu_HČ'!K57+'Přehled o rozpočtu_HČ'!K72</f>
        <v>181681254</v>
      </c>
      <c r="M2" s="689">
        <f>'Přehled o rozpočtu_HČ'!N57+'Přehled o rozpočtu_HČ'!N72</f>
        <v>172243509</v>
      </c>
      <c r="O2" s="792" t="s">
        <v>562</v>
      </c>
      <c r="P2" s="792"/>
      <c r="Q2" s="792"/>
      <c r="R2" s="792"/>
      <c r="S2" s="793"/>
      <c r="T2" s="690">
        <f>'Zpeněžení DřHm'!C29</f>
        <v>143478800</v>
      </c>
      <c r="U2" s="690">
        <f>'Zpeněžení DřHm'!D29</f>
        <v>143297082</v>
      </c>
      <c r="V2" s="690">
        <f>'Zpeněžení DřHm'!E29</f>
        <v>143666690</v>
      </c>
      <c r="W2" s="690">
        <f>'Zpeněžení DřHm'!F29</f>
        <v>139891573</v>
      </c>
      <c r="X2" s="690">
        <f>'Zpeněžení DřHm'!G29</f>
        <v>110576928</v>
      </c>
    </row>
    <row r="3" spans="1:24" ht="15">
      <c r="A3" s="691" t="s">
        <v>41</v>
      </c>
      <c r="B3" s="689">
        <f>'Přehled o rozpočtu_HČ'!D9</f>
        <v>12275050.66</v>
      </c>
      <c r="C3" s="689">
        <f>'Přehled o rozpočtu_HČ'!E9</f>
        <v>17469510</v>
      </c>
      <c r="D3" s="689">
        <f>'Přehled o rozpočtu_HČ'!H9</f>
        <v>15717404.48</v>
      </c>
      <c r="E3" s="689">
        <f>'Přehled o rozpočtu_HČ'!K9</f>
        <v>15821256</v>
      </c>
      <c r="F3" s="689">
        <f>'Přehled o rozpočtu_HČ'!N9</f>
        <v>15863756</v>
      </c>
      <c r="G3" s="684"/>
      <c r="H3" s="688" t="s">
        <v>563</v>
      </c>
      <c r="I3" s="689">
        <f>'Přehled o rozpočtu_HČ'!D80</f>
        <v>105011000</v>
      </c>
      <c r="J3" s="689">
        <f>'Přehled o rozpočtu_HČ'!E80</f>
        <v>108968464</v>
      </c>
      <c r="K3" s="689">
        <f>'Přehled o rozpočtu_HČ'!H80</f>
        <v>106690033</v>
      </c>
      <c r="L3" s="689">
        <f>'Přehled o rozpočtu_HČ'!K80</f>
        <v>112072650</v>
      </c>
      <c r="M3" s="689">
        <f>'Přehled o rozpočtu_HČ'!N80</f>
        <v>120722326</v>
      </c>
      <c r="O3" s="792" t="s">
        <v>564</v>
      </c>
      <c r="P3" s="794"/>
      <c r="Q3" s="794"/>
      <c r="R3" s="794"/>
      <c r="S3" s="795"/>
      <c r="T3" s="690">
        <f>'Zpeněžení DřHm'!C27</f>
        <v>66451225</v>
      </c>
      <c r="U3" s="690">
        <f>'Zpeněžení DřHm'!D27</f>
        <v>64000784.36</v>
      </c>
      <c r="V3" s="690">
        <f>'Zpeněžení DřHm'!E27</f>
        <v>73883055</v>
      </c>
      <c r="W3" s="690">
        <f>'Zpeněžení DřHm'!F27</f>
        <v>81542995</v>
      </c>
      <c r="X3" s="690">
        <f>'Zpeněžení DřHm'!G27</f>
        <v>85268277</v>
      </c>
    </row>
    <row r="4" spans="1:24" ht="15">
      <c r="A4" s="691" t="s">
        <v>565</v>
      </c>
      <c r="B4" s="689">
        <f>'Přehled o rozpočtu_HČ'!D10</f>
        <v>5435747.71</v>
      </c>
      <c r="C4" s="689">
        <f>'Přehled o rozpočtu_HČ'!E10</f>
        <v>5294483</v>
      </c>
      <c r="D4" s="689">
        <f>'Přehled o rozpočtu_HČ'!H10</f>
        <v>6122743.42</v>
      </c>
      <c r="E4" s="689">
        <f>'Přehled o rozpočtu_HČ'!K10</f>
        <v>5180104</v>
      </c>
      <c r="F4" s="689">
        <f>'Přehled o rozpočtu_HČ'!N10</f>
        <v>4872259</v>
      </c>
      <c r="G4" s="684"/>
      <c r="H4" s="688" t="s">
        <v>566</v>
      </c>
      <c r="I4" s="689">
        <f>'Přehled o rozpočtu_HČ'!D82+'Přehled o rozpočtu_HČ'!D83+'Přehled o rozpočtu_HČ'!D84</f>
        <v>16316209</v>
      </c>
      <c r="J4" s="689">
        <f>'Přehled o rozpočtu_HČ'!E82+'Přehled o rozpočtu_HČ'!E83+'Přehled o rozpočtu_HČ'!E84</f>
        <v>14368845.16</v>
      </c>
      <c r="K4" s="689">
        <f>'Přehled o rozpočtu_HČ'!H82+'Přehled o rozpočtu_HČ'!H83+'Přehled o rozpočtu_HČ'!H84</f>
        <v>6400000</v>
      </c>
      <c r="L4" s="689">
        <f>'Přehled o rozpočtu_HČ'!K82+'Přehled o rozpočtu_HČ'!K83+'Přehled o rozpočtu_HČ'!K84</f>
        <v>6930000</v>
      </c>
      <c r="M4" s="689">
        <f>'Přehled o rozpočtu_HČ'!N82+'Přehled o rozpočtu_HČ'!N83+'Přehled o rozpočtu_HČ'!N84</f>
        <v>5712000</v>
      </c>
      <c r="O4" s="794" t="s">
        <v>533</v>
      </c>
      <c r="P4" s="794"/>
      <c r="Q4" s="794"/>
      <c r="R4" s="794"/>
      <c r="S4" s="795"/>
      <c r="T4" s="690">
        <f>'Zpeněžení DřHm'!C36</f>
        <v>77027575</v>
      </c>
      <c r="U4" s="690">
        <f>'Zpeněžení DřHm'!D36</f>
        <v>79296297.64</v>
      </c>
      <c r="V4" s="690">
        <f>'Zpeněžení DřHm'!E36</f>
        <v>69783635</v>
      </c>
      <c r="W4" s="690">
        <f>'Zpeněžení DřHm'!F36</f>
        <v>58348578</v>
      </c>
      <c r="X4" s="690">
        <f>'Zpeněžení DřHm'!G36</f>
        <v>25308651</v>
      </c>
    </row>
    <row r="5" spans="1:13" ht="15">
      <c r="A5" s="691" t="s">
        <v>55</v>
      </c>
      <c r="B5" s="689">
        <f>'Přehled o rozpočtu_HČ'!D16</f>
        <v>20199940.9</v>
      </c>
      <c r="C5" s="689">
        <f>'Přehled o rozpočtu_HČ'!E16</f>
        <v>17962535</v>
      </c>
      <c r="D5" s="689">
        <f>'Přehled o rozpočtu_HČ'!H16</f>
        <v>46505291.23</v>
      </c>
      <c r="E5" s="689">
        <f>'Přehled o rozpočtu_HČ'!K16</f>
        <v>30420966</v>
      </c>
      <c r="F5" s="689">
        <f>'Přehled o rozpočtu_HČ'!N16</f>
        <v>12233394</v>
      </c>
      <c r="G5" s="684"/>
      <c r="H5" s="688" t="s">
        <v>567</v>
      </c>
      <c r="I5" s="689">
        <f>SUM('Přehled o rozpočtu_HČ'!D85:D95)</f>
        <v>25643081</v>
      </c>
      <c r="J5" s="689">
        <f>SUM('Přehled o rozpočtu_HČ'!E85:E95)</f>
        <v>54680424.42</v>
      </c>
      <c r="K5" s="689">
        <f>SUM('Přehled o rozpočtu_HČ'!H85:H95)</f>
        <v>54515108.67</v>
      </c>
      <c r="L5" s="689">
        <f>SUM('Přehled o rozpočtu_HČ'!K85:K95)</f>
        <v>56384577</v>
      </c>
      <c r="M5" s="689">
        <f>SUM('Přehled o rozpočtu_HČ'!N85:N95)</f>
        <v>48843179.94</v>
      </c>
    </row>
    <row r="6" spans="1:13" ht="15">
      <c r="A6" s="691" t="s">
        <v>568</v>
      </c>
      <c r="B6" s="689">
        <f>'Přehled o rozpočtu_HČ'!D17+'Přehled o rozpočtu_HČ'!D18</f>
        <v>3947355.87</v>
      </c>
      <c r="C6" s="689">
        <f>'Přehled o rozpočtu_HČ'!E17+'Přehled o rozpočtu_HČ'!E18</f>
        <v>3824807</v>
      </c>
      <c r="D6" s="689">
        <f>'Přehled o rozpočtu_HČ'!H17+'Přehled o rozpočtu_HČ'!H18</f>
        <v>4324880.86</v>
      </c>
      <c r="E6" s="689">
        <f>'Přehled o rozpočtu_HČ'!K17+'Přehled o rozpočtu_HČ'!K18</f>
        <v>4685617</v>
      </c>
      <c r="F6" s="689">
        <f>'Přehled o rozpočtu_HČ'!N17+'Přehled o rozpočtu_HČ'!N18</f>
        <v>3659815</v>
      </c>
      <c r="G6" s="684"/>
      <c r="H6" s="692" t="s">
        <v>569</v>
      </c>
      <c r="I6" s="693">
        <f>SUM(I2:I5)</f>
        <v>346840657.38</v>
      </c>
      <c r="J6" s="693">
        <f>SUM(J2:J5)</f>
        <v>360657184.58000004</v>
      </c>
      <c r="K6" s="693">
        <f>SUM(K2:K5)</f>
        <v>383702108.71000004</v>
      </c>
      <c r="L6" s="693">
        <f>SUM(L2:L5)</f>
        <v>357068481</v>
      </c>
      <c r="M6" s="693">
        <f>SUM(M2:M5)</f>
        <v>347521014.94</v>
      </c>
    </row>
    <row r="7" spans="1:13" ht="15">
      <c r="A7" s="691" t="s">
        <v>63</v>
      </c>
      <c r="B7" s="689">
        <f>'Přehled o rozpočtu_HČ'!D20</f>
        <v>110523891.52</v>
      </c>
      <c r="C7" s="689">
        <f>'Přehled o rozpočtu_HČ'!E20</f>
        <v>105222761</v>
      </c>
      <c r="D7" s="689">
        <f>'Přehled o rozpočtu_HČ'!H20</f>
        <v>115063277.95</v>
      </c>
      <c r="E7" s="689">
        <f>'Přehled o rozpočtu_HČ'!K20</f>
        <v>110639703</v>
      </c>
      <c r="F7" s="689">
        <f>'Přehled o rozpočtu_HČ'!N20</f>
        <v>119042148</v>
      </c>
      <c r="G7" s="684"/>
      <c r="H7" s="688" t="s">
        <v>570</v>
      </c>
      <c r="I7" s="689">
        <f>'Přehled o rozpočtu_HČ'!D58</f>
        <v>146000995.2</v>
      </c>
      <c r="J7" s="689">
        <f>'Přehled o rozpočtu_HČ'!E58</f>
        <v>144909898</v>
      </c>
      <c r="K7" s="689">
        <f>'Přehled o rozpočtu_HČ'!H58</f>
        <v>145085454.66</v>
      </c>
      <c r="L7" s="689">
        <f>'Přehled o rozpočtu_HČ'!K58</f>
        <v>141913378</v>
      </c>
      <c r="M7" s="689">
        <f>'Přehled o rozpočtu_HČ'!N58</f>
        <v>112158228</v>
      </c>
    </row>
    <row r="8" spans="1:13" ht="15">
      <c r="A8" s="691" t="s">
        <v>571</v>
      </c>
      <c r="B8" s="689">
        <f>'Přehled o rozpočtu_HČ'!D21+'Přehled o rozpočtu_HČ'!D22+'Přehled o rozpočtu_HČ'!D23+'Přehled o rozpočtu_HČ'!D24+'Přehled o rozpočtu_HČ'!D25</f>
        <v>105948038.25</v>
      </c>
      <c r="C8" s="689">
        <f>'Přehled o rozpočtu_HČ'!E21+'Přehled o rozpočtu_HČ'!E22+'Přehled o rozpočtu_HČ'!E23+'Přehled o rozpočtu_HČ'!E24+'Přehled o rozpočtu_HČ'!E25</f>
        <v>117989082</v>
      </c>
      <c r="D8" s="689">
        <f>'Přehled o rozpočtu_HČ'!H21+'Přehled o rozpočtu_HČ'!H22+'Přehled o rozpočtu_HČ'!H23+'Přehled o rozpočtu_HČ'!H24+'Přehled o rozpočtu_HČ'!H25</f>
        <v>116039557.11</v>
      </c>
      <c r="E8" s="689">
        <f>'Přehled o rozpočtu_HČ'!K21+'Přehled o rozpočtu_HČ'!K22+'Přehled o rozpočtu_HČ'!K23+'Přehled o rozpočtu_HČ'!K24+'Přehled o rozpočtu_HČ'!K25</f>
        <v>120493555</v>
      </c>
      <c r="F8" s="689">
        <f>'Přehled o rozpočtu_HČ'!N21+'Přehled o rozpočtu_HČ'!N22+'Přehled o rozpočtu_HČ'!N23+'Přehled o rozpočtu_HČ'!N24+'Přehled o rozpočtu_HČ'!N25</f>
        <v>132604220</v>
      </c>
      <c r="G8" s="684"/>
      <c r="H8" s="688" t="s">
        <v>572</v>
      </c>
      <c r="I8" s="689">
        <f>'Přehled o rozpočtu_HČ'!D59</f>
        <v>4655361.66</v>
      </c>
      <c r="J8" s="689">
        <f>'Přehled o rozpočtu_HČ'!E59</f>
        <v>3338649</v>
      </c>
      <c r="K8" s="689">
        <f>'Přehled o rozpočtu_HČ'!H59</f>
        <v>3516781.33</v>
      </c>
      <c r="L8" s="689">
        <f>'Přehled o rozpočtu_HČ'!K59</f>
        <v>3509804</v>
      </c>
      <c r="M8" s="689">
        <f>'Přehled o rozpočtu_HČ'!N59</f>
        <v>3257852</v>
      </c>
    </row>
    <row r="9" spans="1:13" ht="15">
      <c r="A9" s="691" t="s">
        <v>573</v>
      </c>
      <c r="B9" s="689">
        <f>'Přehled o rozpočtu_HČ'!D43</f>
        <v>23099393.12</v>
      </c>
      <c r="C9" s="689">
        <f>'Přehled o rozpočtu_HČ'!E43</f>
        <v>28334846</v>
      </c>
      <c r="D9" s="689">
        <f>'Přehled o rozpočtu_HČ'!H43</f>
        <v>8593564.34</v>
      </c>
      <c r="E9" s="689">
        <f>'Přehled o rozpočtu_HČ'!K43</f>
        <v>8692113</v>
      </c>
      <c r="F9" s="689">
        <f>'Přehled o rozpočtu_HČ'!N43</f>
        <v>8976991</v>
      </c>
      <c r="G9" s="684"/>
      <c r="H9" s="688" t="s">
        <v>574</v>
      </c>
      <c r="I9" s="689">
        <f>'Přehled o rozpočtu_HČ'!D60</f>
        <v>15490917.75</v>
      </c>
      <c r="J9" s="689">
        <f>'Přehled o rozpočtu_HČ'!E60</f>
        <v>16537841</v>
      </c>
      <c r="K9" s="689">
        <f>'Přehled o rozpočtu_HČ'!H60</f>
        <v>17291411.47</v>
      </c>
      <c r="L9" s="689">
        <f>'Přehled o rozpočtu_HČ'!K60</f>
        <v>18416928</v>
      </c>
      <c r="M9" s="689">
        <f>'Přehled o rozpočtu_HČ'!N60</f>
        <v>21690010</v>
      </c>
    </row>
    <row r="10" spans="1:13" ht="15">
      <c r="A10" s="691" t="s">
        <v>218</v>
      </c>
      <c r="B10" s="689">
        <f>'Přehled o rozpočtu_HČ'!D35</f>
        <v>35925096</v>
      </c>
      <c r="C10" s="689">
        <f>'Přehled o rozpočtu_HČ'!E35</f>
        <v>40630967</v>
      </c>
      <c r="D10" s="689">
        <f>'Přehled o rozpočtu_HČ'!H35</f>
        <v>46825813</v>
      </c>
      <c r="E10" s="689">
        <f>'Přehled o rozpočtu_HČ'!K35</f>
        <v>33051651</v>
      </c>
      <c r="F10" s="689">
        <f>'Přehled o rozpočtu_HČ'!N35</f>
        <v>31497390</v>
      </c>
      <c r="G10" s="684"/>
      <c r="H10" s="688" t="s">
        <v>575</v>
      </c>
      <c r="I10" s="689">
        <f>'Přehled o rozpočtu_HČ'!D61</f>
        <v>2360108.99</v>
      </c>
      <c r="J10" s="689">
        <f>'Přehled o rozpočtu_HČ'!E61</f>
        <v>1977555</v>
      </c>
      <c r="K10" s="689">
        <f>'Přehled o rozpočtu_HČ'!H61</f>
        <v>2594117.59</v>
      </c>
      <c r="L10" s="689">
        <f>'Přehled o rozpočtu_HČ'!K61</f>
        <v>2515793</v>
      </c>
      <c r="M10" s="689">
        <f>'Přehled o rozpočtu_HČ'!N61</f>
        <v>2231532</v>
      </c>
    </row>
    <row r="11" spans="1:13" ht="15">
      <c r="A11" s="691" t="s">
        <v>576</v>
      </c>
      <c r="B11" s="689">
        <f>'Přehled o rozpočtu_HČ'!D42</f>
        <v>4948474.21</v>
      </c>
      <c r="C11" s="689">
        <f>'Přehled o rozpočtu_HČ'!E42</f>
        <v>9070278</v>
      </c>
      <c r="D11" s="689">
        <f>'Přehled o rozpočtu_HČ'!H42</f>
        <v>3247436.86</v>
      </c>
      <c r="E11" s="689">
        <f>'Přehled o rozpočtu_HČ'!K42</f>
        <v>2450294</v>
      </c>
      <c r="F11" s="689">
        <f>'Přehled o rozpočtu_HČ'!N42</f>
        <v>6731982</v>
      </c>
      <c r="G11" s="684"/>
      <c r="H11" s="688" t="s">
        <v>577</v>
      </c>
      <c r="I11" s="689">
        <f>'Přehled o rozpočtu_HČ'!D66</f>
        <v>34996.4</v>
      </c>
      <c r="J11" s="689">
        <f>'Přehled o rozpočtu_HČ'!E66</f>
        <v>17110</v>
      </c>
      <c r="K11" s="689">
        <f>'Přehled o rozpočtu_HČ'!H66</f>
        <v>12944.69</v>
      </c>
      <c r="L11" s="689">
        <f>'Přehled o rozpočtu_HČ'!K66</f>
        <v>10704</v>
      </c>
      <c r="M11" s="689">
        <f>'Přehled o rozpočtu_HČ'!N66</f>
        <v>511081</v>
      </c>
    </row>
    <row r="12" spans="1:13" ht="15">
      <c r="A12" s="691" t="s">
        <v>578</v>
      </c>
      <c r="B12" s="689">
        <f>'Přehled o rozpočtu_HČ'!D54+'Přehled o rozpočtu_HČ'!D55</f>
        <v>11071670.23</v>
      </c>
      <c r="C12" s="689">
        <f>'Přehled o rozpočtu_HČ'!E54+'Přehled o rozpočtu_HČ'!E55</f>
        <v>8264109</v>
      </c>
      <c r="D12" s="689">
        <f>'Přehled o rozpočtu_HČ'!H54+'Přehled o rozpočtu_HČ'!H55</f>
        <v>6574592.57</v>
      </c>
      <c r="E12" s="689">
        <f>'Přehled o rozpočtu_HČ'!K54+'Přehled o rozpočtu_HČ'!K55</f>
        <v>7825958</v>
      </c>
      <c r="F12" s="689">
        <f>'Přehled o rozpočtu_HČ'!N54+'Přehled o rozpočtu_HČ'!N55</f>
        <v>3963105</v>
      </c>
      <c r="G12" s="684"/>
      <c r="H12" s="688" t="s">
        <v>579</v>
      </c>
      <c r="I12" s="689">
        <f>'Přehled o rozpočtu_HČ'!D68</f>
        <v>2852710.46</v>
      </c>
      <c r="J12" s="689">
        <f>'Přehled o rozpočtu_HČ'!E68</f>
        <v>50053</v>
      </c>
      <c r="K12" s="689">
        <f>'Přehled o rozpočtu_HČ'!H68</f>
        <v>376160.33</v>
      </c>
      <c r="L12" s="689">
        <f>'Přehled o rozpočtu_HČ'!K68</f>
        <v>395058</v>
      </c>
      <c r="M12" s="689">
        <f>'Přehled o rozpočtu_HČ'!N68</f>
        <v>313346</v>
      </c>
    </row>
    <row r="13" spans="1:13" ht="15">
      <c r="A13" s="691" t="s">
        <v>580</v>
      </c>
      <c r="B13" s="689">
        <f>'Přehled o rozpočtu_HČ'!D7-B3-B4-B5-B6-B7-B8-B9-B10-B11-B12</f>
        <v>10262854.160000023</v>
      </c>
      <c r="C13" s="689">
        <f>'Přehled o rozpočtu_HČ'!E7-C3-C4-C5-C6-C7-C8-C9-C10-C11-C12</f>
        <v>6589264</v>
      </c>
      <c r="D13" s="689">
        <f>'Přehled o rozpočtu_HČ'!H7-D3-D4-D5-D6-D7-D8-D9-D10-D11-D12</f>
        <v>11202519.459999971</v>
      </c>
      <c r="E13" s="689">
        <f>'Přehled o rozpočtu_HČ'!K7-E3-E4-E5-E6-E7-E8-E9-E10-E11-E12</f>
        <v>2884906</v>
      </c>
      <c r="F13" s="689">
        <f>'Přehled o rozpočtu_HČ'!N7-F3-F4-F5-F6-F7-F8-F9-F10-F11-F12</f>
        <v>5432684</v>
      </c>
      <c r="G13" s="684"/>
      <c r="H13" s="688" t="s">
        <v>583</v>
      </c>
      <c r="I13" s="689">
        <f>'Přehled o rozpočtu_HČ'!D70</f>
        <v>18109649.54</v>
      </c>
      <c r="J13" s="689">
        <f>'Přehled o rozpočtu_HČ'!E70</f>
        <v>3760052</v>
      </c>
      <c r="K13" s="689">
        <f>'Přehled o rozpočtu_HČ'!H70</f>
        <v>17034903.48</v>
      </c>
      <c r="L13" s="689">
        <f>'Přehled o rozpočtu_HČ'!K70</f>
        <v>663350</v>
      </c>
      <c r="M13" s="689">
        <f>'Přehled o rozpočtu_HČ'!N70</f>
        <v>28943607</v>
      </c>
    </row>
    <row r="14" spans="1:13" ht="15">
      <c r="A14" s="694"/>
      <c r="B14" s="684"/>
      <c r="C14" s="684"/>
      <c r="D14" s="684"/>
      <c r="E14" s="684"/>
      <c r="F14" s="684"/>
      <c r="G14" s="684"/>
      <c r="H14" s="688" t="s">
        <v>581</v>
      </c>
      <c r="I14" s="689">
        <f>'Přehled o rozpočtu_HČ'!D71</f>
        <v>5299952.25</v>
      </c>
      <c r="J14" s="689">
        <f>'Přehled o rozpočtu_HČ'!E71</f>
        <v>10703926</v>
      </c>
      <c r="K14" s="689">
        <f>'Přehled o rozpočtu_HČ'!H71</f>
        <v>29316807.21</v>
      </c>
      <c r="L14" s="689">
        <f>'Přehled o rozpočtu_HČ'!K71</f>
        <v>13714750</v>
      </c>
      <c r="M14" s="689">
        <f>'Přehled o rozpočtu_HČ'!N71</f>
        <v>2696717</v>
      </c>
    </row>
    <row r="15" spans="1:13" ht="15">
      <c r="A15" s="694"/>
      <c r="B15" s="684"/>
      <c r="C15" s="684"/>
      <c r="D15" s="684"/>
      <c r="E15" s="684"/>
      <c r="F15" s="684"/>
      <c r="G15" s="684"/>
      <c r="H15" s="688" t="s">
        <v>582</v>
      </c>
      <c r="I15" s="689">
        <f>'Přehled o rozpočtu_HČ'!D74+'Přehled o rozpočtu_HČ'!D75</f>
        <v>1647554.53</v>
      </c>
      <c r="J15" s="689">
        <f>'Přehled o rozpočtu_HČ'!E74+'Přehled o rozpočtu_HČ'!E75</f>
        <v>690847</v>
      </c>
      <c r="K15" s="689">
        <f>'Přehled o rozpočtu_HČ'!H74+'Přehled o rozpočtu_HČ'!H75</f>
        <v>166465.53</v>
      </c>
      <c r="L15" s="689">
        <f>'Přehled o rozpočtu_HČ'!K74+'Přehled o rozpočtu_HČ'!K75</f>
        <v>388</v>
      </c>
      <c r="M15" s="689">
        <f>'Přehled o rozpočtu_HČ'!N74+'Přehled o rozpočtu_HČ'!N75</f>
        <v>67553</v>
      </c>
    </row>
  </sheetData>
  <sheetProtection/>
  <mergeCells count="3">
    <mergeCell ref="O2:S2"/>
    <mergeCell ref="O3:S3"/>
    <mergeCell ref="O4:S4"/>
  </mergeCells>
  <printOptions/>
  <pageMargins left="0.53" right="0.43" top="0.787401575" bottom="0.51" header="0.3" footer="0.3"/>
  <pageSetup horizontalDpi="600" verticalDpi="600" orientation="portrait" paperSize="8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58"/>
  <sheetViews>
    <sheetView zoomScale="86" zoomScaleNormal="86" zoomScalePageLayoutView="0" workbookViewId="0" topLeftCell="A10">
      <selection activeCell="L17" sqref="L17"/>
    </sheetView>
  </sheetViews>
  <sheetFormatPr defaultColWidth="9.140625" defaultRowHeight="15"/>
  <cols>
    <col min="1" max="1" width="41.57421875" style="3" customWidth="1"/>
    <col min="2" max="22" width="16.57421875" style="3" customWidth="1"/>
    <col min="23" max="23" width="9.140625" style="3" customWidth="1"/>
    <col min="24" max="24" width="19.57421875" style="3" bestFit="1" customWidth="1"/>
    <col min="25" max="16384" width="9.140625" style="3" customWidth="1"/>
  </cols>
  <sheetData>
    <row r="1" spans="1:22" ht="25.5" customHeight="1" thickBot="1">
      <c r="A1" s="809" t="s">
        <v>294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1"/>
    </row>
    <row r="2" spans="1:22" ht="21" customHeight="1" thickBot="1">
      <c r="A2" s="184" t="s">
        <v>260</v>
      </c>
      <c r="B2" s="184"/>
      <c r="C2" s="184"/>
      <c r="D2" s="184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.75" thickBot="1">
      <c r="A3" s="799" t="s">
        <v>0</v>
      </c>
      <c r="B3" s="785" t="s">
        <v>527</v>
      </c>
      <c r="C3" s="786"/>
      <c r="D3" s="786"/>
      <c r="E3" s="786"/>
      <c r="F3" s="786"/>
      <c r="G3" s="786"/>
      <c r="H3" s="786"/>
      <c r="I3" s="786"/>
      <c r="J3" s="787"/>
      <c r="K3" s="788" t="str">
        <f>CONCATENATE(+titul!$E$11,titul!$F$11)</f>
        <v>leden - prosinec</v>
      </c>
      <c r="L3" s="789"/>
      <c r="M3" s="808"/>
      <c r="N3" s="605"/>
      <c r="O3" s="605"/>
      <c r="P3" s="605"/>
      <c r="Q3" s="451"/>
      <c r="R3" s="451"/>
      <c r="S3" s="451"/>
      <c r="T3" s="451"/>
      <c r="U3" s="451"/>
      <c r="V3" s="452"/>
    </row>
    <row r="4" spans="1:22" s="31" customFormat="1" ht="15.75" customHeight="1">
      <c r="A4" s="800"/>
      <c r="B4" s="781" t="str">
        <f>+CONCATENATE("skutečnost ",titul!$E$10-3)</f>
        <v>skutečnost 2015</v>
      </c>
      <c r="C4" s="782"/>
      <c r="D4" s="783"/>
      <c r="E4" s="781" t="str">
        <f>+CONCATENATE("skutečnost ",titul!$E$10-2)</f>
        <v>skutečnost 2016</v>
      </c>
      <c r="F4" s="782"/>
      <c r="G4" s="783"/>
      <c r="H4" s="781" t="str">
        <f>+CONCATENATE("skutečnost ",titul!$E$10-1)</f>
        <v>skutečnost 2017</v>
      </c>
      <c r="I4" s="784"/>
      <c r="J4" s="783"/>
      <c r="K4" s="761" t="str">
        <f>+CONCATENATE("skutečnost ",titul!$E$10)</f>
        <v>skutečnost 2018</v>
      </c>
      <c r="L4" s="762"/>
      <c r="M4" s="763"/>
      <c r="N4" s="765" t="str">
        <f>+CONCATENATE("odchylka ",titul!$E$10,"-",titul!$E$10-1)</f>
        <v>odchylka 2018-2017</v>
      </c>
      <c r="O4" s="765"/>
      <c r="P4" s="765"/>
      <c r="Q4" s="764" t="str">
        <f>+CONCATENATE("odchylka ",titul!$E$10,"-",titul!$E$10-2)</f>
        <v>odchylka 2018-2016</v>
      </c>
      <c r="R4" s="765"/>
      <c r="S4" s="766"/>
      <c r="T4" s="767" t="s">
        <v>262</v>
      </c>
      <c r="U4" s="768"/>
      <c r="V4" s="769"/>
    </row>
    <row r="5" spans="1:22" s="31" customFormat="1" ht="45.75" thickBot="1">
      <c r="A5" s="801"/>
      <c r="B5" s="486" t="s">
        <v>169</v>
      </c>
      <c r="C5" s="487" t="s">
        <v>261</v>
      </c>
      <c r="D5" s="488" t="s">
        <v>170</v>
      </c>
      <c r="E5" s="486" t="s">
        <v>169</v>
      </c>
      <c r="F5" s="487" t="s">
        <v>261</v>
      </c>
      <c r="G5" s="488" t="s">
        <v>170</v>
      </c>
      <c r="H5" s="486" t="s">
        <v>169</v>
      </c>
      <c r="I5" s="487" t="s">
        <v>261</v>
      </c>
      <c r="J5" s="488" t="s">
        <v>170</v>
      </c>
      <c r="K5" s="107" t="s">
        <v>169</v>
      </c>
      <c r="L5" s="160" t="s">
        <v>261</v>
      </c>
      <c r="M5" s="79" t="s">
        <v>170</v>
      </c>
      <c r="N5" s="160" t="s">
        <v>169</v>
      </c>
      <c r="O5" s="160" t="s">
        <v>261</v>
      </c>
      <c r="P5" s="606" t="s">
        <v>170</v>
      </c>
      <c r="Q5" s="464" t="s">
        <v>169</v>
      </c>
      <c r="R5" s="607" t="s">
        <v>261</v>
      </c>
      <c r="S5" s="608" t="s">
        <v>170</v>
      </c>
      <c r="T5" s="107" t="s">
        <v>169</v>
      </c>
      <c r="U5" s="160" t="s">
        <v>261</v>
      </c>
      <c r="V5" s="79" t="s">
        <v>170</v>
      </c>
    </row>
    <row r="6" spans="1:22" s="31" customFormat="1" ht="19.5" thickBot="1">
      <c r="A6" s="796" t="s">
        <v>194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8"/>
    </row>
    <row r="7" spans="1:22" ht="15.75">
      <c r="A7" s="802" t="s">
        <v>192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4"/>
    </row>
    <row r="8" spans="1:22" s="188" customFormat="1" ht="14.25">
      <c r="A8" s="615" t="s">
        <v>3</v>
      </c>
      <c r="B8" s="609">
        <f>+'[3]Přehled o rozpočtu_HČ'!E9</f>
        <v>17469510</v>
      </c>
      <c r="C8" s="610">
        <f>+'[3]Přehled o rozpočtu_HČ'!F9</f>
        <v>3706329</v>
      </c>
      <c r="D8" s="611">
        <f>+'[3]Přehled o rozpočtu_HČ'!G9</f>
        <v>13763181</v>
      </c>
      <c r="E8" s="612">
        <f>+'Přehled o rozpočtu_HČ'!H9</f>
        <v>15717404.48</v>
      </c>
      <c r="F8" s="610">
        <f>+'Přehled o rozpočtu_HČ'!I9</f>
        <v>3129142</v>
      </c>
      <c r="G8" s="613">
        <f>+'Přehled o rozpočtu_HČ'!J9</f>
        <v>12588262.48</v>
      </c>
      <c r="H8" s="612">
        <f>+'Přehled o rozpočtu_HČ'!K9</f>
        <v>15821256</v>
      </c>
      <c r="I8" s="614">
        <f>+'Přehled o rozpočtu_HČ'!L9</f>
        <v>4996998</v>
      </c>
      <c r="J8" s="613">
        <f>+'Přehled o rozpočtu_HČ'!M9</f>
        <v>10824258</v>
      </c>
      <c r="K8" s="185">
        <f>+'Přehled o rozpočtu_HČ'!N9</f>
        <v>15863756</v>
      </c>
      <c r="L8" s="187">
        <f>+'Přehled o rozpočtu_HČ'!O9</f>
        <v>4529949</v>
      </c>
      <c r="M8" s="186">
        <f>+'Přehled o rozpočtu_HČ'!P9</f>
        <v>11333807</v>
      </c>
      <c r="N8" s="185">
        <f>+$K8-$H8</f>
        <v>42500</v>
      </c>
      <c r="O8" s="187">
        <f>+$L8-$I8</f>
        <v>-467049</v>
      </c>
      <c r="P8" s="186">
        <f>+$M8-$J8</f>
        <v>509549</v>
      </c>
      <c r="Q8" s="185">
        <f>+$K8-$E8</f>
        <v>146351.51999999955</v>
      </c>
      <c r="R8" s="187">
        <f>+$L8-$F8</f>
        <v>1400807</v>
      </c>
      <c r="S8" s="186">
        <f>+$M8-$G8</f>
        <v>-1254455.4800000004</v>
      </c>
      <c r="T8" s="185">
        <f>+$H8-$E8</f>
        <v>103851.51999999955</v>
      </c>
      <c r="U8" s="187">
        <f>+$I8-$F8</f>
        <v>1867856</v>
      </c>
      <c r="V8" s="186">
        <f>+$J8-$G8</f>
        <v>-1764004.4800000004</v>
      </c>
    </row>
    <row r="9" spans="1:22" ht="15">
      <c r="A9" s="76" t="s">
        <v>188</v>
      </c>
      <c r="B9" s="461">
        <v>382542</v>
      </c>
      <c r="C9" s="462">
        <v>561</v>
      </c>
      <c r="D9" s="476">
        <f>+B9-C9</f>
        <v>381981</v>
      </c>
      <c r="E9" s="461">
        <v>377116</v>
      </c>
      <c r="F9" s="462"/>
      <c r="G9" s="248">
        <f>+E9-F9</f>
        <v>377116</v>
      </c>
      <c r="H9" s="408">
        <v>152005</v>
      </c>
      <c r="I9" s="409"/>
      <c r="J9" s="248">
        <f>+H9-I9</f>
        <v>152005</v>
      </c>
      <c r="K9" s="77">
        <v>307778</v>
      </c>
      <c r="L9" s="182">
        <v>6909</v>
      </c>
      <c r="M9" s="248">
        <f aca="true" t="shared" si="0" ref="M9:M18">+K9-L9</f>
        <v>300869</v>
      </c>
      <c r="N9" s="77">
        <f>+$K9-$H9</f>
        <v>155773</v>
      </c>
      <c r="O9" s="182">
        <f>+$L9-$I9</f>
        <v>6909</v>
      </c>
      <c r="P9" s="78">
        <f>+$M9-$J9</f>
        <v>148864</v>
      </c>
      <c r="Q9" s="77">
        <f>+$K9-$E9</f>
        <v>-69338</v>
      </c>
      <c r="R9" s="182">
        <f>+$L9-$F9</f>
        <v>6909</v>
      </c>
      <c r="S9" s="78">
        <f>+$M9-$G9</f>
        <v>-76247</v>
      </c>
      <c r="T9" s="77">
        <f>+$H9-$E9</f>
        <v>-225111</v>
      </c>
      <c r="U9" s="182">
        <f>+$I9-$F9</f>
        <v>0</v>
      </c>
      <c r="V9" s="78">
        <f>+$J9-$G9</f>
        <v>-225111</v>
      </c>
    </row>
    <row r="10" spans="1:22" ht="15">
      <c r="A10" s="317" t="s">
        <v>374</v>
      </c>
      <c r="B10" s="461">
        <v>0</v>
      </c>
      <c r="C10" s="462"/>
      <c r="D10" s="476">
        <f aca="true" t="shared" si="1" ref="D10:D18">+B10-C10</f>
        <v>0</v>
      </c>
      <c r="E10" s="461">
        <v>21315</v>
      </c>
      <c r="F10" s="462"/>
      <c r="G10" s="248">
        <f aca="true" t="shared" si="2" ref="G10:G18">+E10-F10</f>
        <v>21315</v>
      </c>
      <c r="H10" s="461"/>
      <c r="I10" s="462"/>
      <c r="J10" s="248">
        <f aca="true" t="shared" si="3" ref="J10:J18">+H10-I10</f>
        <v>0</v>
      </c>
      <c r="K10" s="61"/>
      <c r="L10" s="37"/>
      <c r="M10" s="248">
        <f t="shared" si="0"/>
        <v>0</v>
      </c>
      <c r="N10" s="77">
        <f aca="true" t="shared" si="4" ref="N10:N20">+$K10-$H10</f>
        <v>0</v>
      </c>
      <c r="O10" s="182">
        <f aca="true" t="shared" si="5" ref="O10:O20">+$L10-$I10</f>
        <v>0</v>
      </c>
      <c r="P10" s="78">
        <f aca="true" t="shared" si="6" ref="P10:P20">+$M10-$J10</f>
        <v>0</v>
      </c>
      <c r="Q10" s="77">
        <f aca="true" t="shared" si="7" ref="Q10:Q20">+$K10-$E10</f>
        <v>-21315</v>
      </c>
      <c r="R10" s="182">
        <f aca="true" t="shared" si="8" ref="R10:R20">+$L10-$F10</f>
        <v>0</v>
      </c>
      <c r="S10" s="78">
        <f aca="true" t="shared" si="9" ref="S10:S20">+$M10-$G10</f>
        <v>-21315</v>
      </c>
      <c r="T10" s="77">
        <f aca="true" t="shared" si="10" ref="T10:T20">+$H10-$E10</f>
        <v>-21315</v>
      </c>
      <c r="U10" s="182">
        <f aca="true" t="shared" si="11" ref="U10:U20">+$I10-$F10</f>
        <v>0</v>
      </c>
      <c r="V10" s="78">
        <f aca="true" t="shared" si="12" ref="V10:V20">+$J10-$G10</f>
        <v>-21315</v>
      </c>
    </row>
    <row r="11" spans="1:22" ht="15">
      <c r="A11" s="249" t="s">
        <v>362</v>
      </c>
      <c r="B11" s="461">
        <v>2571069</v>
      </c>
      <c r="C11" s="462">
        <v>102316</v>
      </c>
      <c r="D11" s="476">
        <f t="shared" si="1"/>
        <v>2468753</v>
      </c>
      <c r="E11" s="461">
        <v>2402236</v>
      </c>
      <c r="F11" s="462">
        <v>130</v>
      </c>
      <c r="G11" s="248">
        <f t="shared" si="2"/>
        <v>2402106</v>
      </c>
      <c r="H11" s="461">
        <v>2566718</v>
      </c>
      <c r="I11" s="462">
        <v>114918</v>
      </c>
      <c r="J11" s="248">
        <f t="shared" si="3"/>
        <v>2451800</v>
      </c>
      <c r="K11" s="61">
        <v>2745728</v>
      </c>
      <c r="L11" s="37">
        <v>5690</v>
      </c>
      <c r="M11" s="248">
        <f t="shared" si="0"/>
        <v>2740038</v>
      </c>
      <c r="N11" s="77">
        <f t="shared" si="4"/>
        <v>179010</v>
      </c>
      <c r="O11" s="182">
        <f t="shared" si="5"/>
        <v>-109228</v>
      </c>
      <c r="P11" s="78">
        <f t="shared" si="6"/>
        <v>288238</v>
      </c>
      <c r="Q11" s="77">
        <f t="shared" si="7"/>
        <v>343492</v>
      </c>
      <c r="R11" s="182">
        <f t="shared" si="8"/>
        <v>5560</v>
      </c>
      <c r="S11" s="78">
        <f t="shared" si="9"/>
        <v>337932</v>
      </c>
      <c r="T11" s="77">
        <f t="shared" si="10"/>
        <v>164482</v>
      </c>
      <c r="U11" s="182">
        <f t="shared" si="11"/>
        <v>114788</v>
      </c>
      <c r="V11" s="78">
        <f t="shared" si="12"/>
        <v>49694</v>
      </c>
    </row>
    <row r="12" spans="1:22" ht="15">
      <c r="A12" s="249" t="s">
        <v>375</v>
      </c>
      <c r="B12" s="461">
        <v>614410</v>
      </c>
      <c r="C12" s="462"/>
      <c r="D12" s="476">
        <f t="shared" si="1"/>
        <v>614410</v>
      </c>
      <c r="E12" s="461">
        <v>416151</v>
      </c>
      <c r="F12" s="462"/>
      <c r="G12" s="248">
        <f t="shared" si="2"/>
        <v>416151</v>
      </c>
      <c r="H12" s="461">
        <v>244774</v>
      </c>
      <c r="I12" s="462"/>
      <c r="J12" s="248">
        <f t="shared" si="3"/>
        <v>244774</v>
      </c>
      <c r="K12" s="297">
        <v>468406</v>
      </c>
      <c r="L12" s="247"/>
      <c r="M12" s="248">
        <f t="shared" si="0"/>
        <v>468406</v>
      </c>
      <c r="N12" s="77">
        <f t="shared" si="4"/>
        <v>223632</v>
      </c>
      <c r="O12" s="182">
        <f t="shared" si="5"/>
        <v>0</v>
      </c>
      <c r="P12" s="78">
        <f t="shared" si="6"/>
        <v>223632</v>
      </c>
      <c r="Q12" s="77">
        <f t="shared" si="7"/>
        <v>52255</v>
      </c>
      <c r="R12" s="182">
        <f t="shared" si="8"/>
        <v>0</v>
      </c>
      <c r="S12" s="78">
        <f t="shared" si="9"/>
        <v>52255</v>
      </c>
      <c r="T12" s="77">
        <f t="shared" si="10"/>
        <v>-171377</v>
      </c>
      <c r="U12" s="182">
        <f t="shared" si="11"/>
        <v>0</v>
      </c>
      <c r="V12" s="78">
        <f t="shared" si="12"/>
        <v>-171377</v>
      </c>
    </row>
    <row r="13" spans="1:22" ht="15">
      <c r="A13" s="249" t="s">
        <v>376</v>
      </c>
      <c r="B13" s="461">
        <v>3095416</v>
      </c>
      <c r="C13" s="462">
        <v>7271</v>
      </c>
      <c r="D13" s="476">
        <f t="shared" si="1"/>
        <v>3088145</v>
      </c>
      <c r="E13" s="461">
        <v>3165346</v>
      </c>
      <c r="F13" s="462">
        <v>16420</v>
      </c>
      <c r="G13" s="248">
        <f t="shared" si="2"/>
        <v>3148926</v>
      </c>
      <c r="H13" s="461">
        <v>2095618</v>
      </c>
      <c r="I13" s="462">
        <v>3545</v>
      </c>
      <c r="J13" s="248">
        <f t="shared" si="3"/>
        <v>2092073</v>
      </c>
      <c r="K13" s="297">
        <v>2092638</v>
      </c>
      <c r="L13" s="247">
        <v>144199</v>
      </c>
      <c r="M13" s="248">
        <f t="shared" si="0"/>
        <v>1948439</v>
      </c>
      <c r="N13" s="77">
        <f t="shared" si="4"/>
        <v>-2980</v>
      </c>
      <c r="O13" s="182">
        <f t="shared" si="5"/>
        <v>140654</v>
      </c>
      <c r="P13" s="78">
        <f t="shared" si="6"/>
        <v>-143634</v>
      </c>
      <c r="Q13" s="77">
        <f t="shared" si="7"/>
        <v>-1072708</v>
      </c>
      <c r="R13" s="182">
        <f t="shared" si="8"/>
        <v>127779</v>
      </c>
      <c r="S13" s="78">
        <f t="shared" si="9"/>
        <v>-1200487</v>
      </c>
      <c r="T13" s="77">
        <f t="shared" si="10"/>
        <v>-1069728</v>
      </c>
      <c r="U13" s="182">
        <f t="shared" si="11"/>
        <v>-12875</v>
      </c>
      <c r="V13" s="78">
        <f t="shared" si="12"/>
        <v>-1056853</v>
      </c>
    </row>
    <row r="14" spans="1:22" ht="15">
      <c r="A14" s="249" t="s">
        <v>377</v>
      </c>
      <c r="B14" s="461">
        <v>990449</v>
      </c>
      <c r="C14" s="462">
        <v>11783</v>
      </c>
      <c r="D14" s="476">
        <f t="shared" si="1"/>
        <v>978666</v>
      </c>
      <c r="E14" s="461">
        <v>1080167</v>
      </c>
      <c r="F14" s="462">
        <v>1103</v>
      </c>
      <c r="G14" s="248">
        <f t="shared" si="2"/>
        <v>1079064</v>
      </c>
      <c r="H14" s="461">
        <v>552057</v>
      </c>
      <c r="I14" s="462">
        <v>4054</v>
      </c>
      <c r="J14" s="248">
        <f t="shared" si="3"/>
        <v>548003</v>
      </c>
      <c r="K14" s="297">
        <v>557315</v>
      </c>
      <c r="L14" s="247">
        <v>3584</v>
      </c>
      <c r="M14" s="248">
        <f t="shared" si="0"/>
        <v>553731</v>
      </c>
      <c r="N14" s="77">
        <f t="shared" si="4"/>
        <v>5258</v>
      </c>
      <c r="O14" s="182">
        <f t="shared" si="5"/>
        <v>-470</v>
      </c>
      <c r="P14" s="78">
        <f t="shared" si="6"/>
        <v>5728</v>
      </c>
      <c r="Q14" s="77">
        <f t="shared" si="7"/>
        <v>-522852</v>
      </c>
      <c r="R14" s="182">
        <f t="shared" si="8"/>
        <v>2481</v>
      </c>
      <c r="S14" s="78">
        <f t="shared" si="9"/>
        <v>-525333</v>
      </c>
      <c r="T14" s="77">
        <f t="shared" si="10"/>
        <v>-528110</v>
      </c>
      <c r="U14" s="182">
        <f t="shared" si="11"/>
        <v>2951</v>
      </c>
      <c r="V14" s="78">
        <f t="shared" si="12"/>
        <v>-531061</v>
      </c>
    </row>
    <row r="15" spans="1:22" ht="15">
      <c r="A15" s="239" t="s">
        <v>378</v>
      </c>
      <c r="B15" s="463">
        <v>4058705</v>
      </c>
      <c r="C15" s="314">
        <v>3417341</v>
      </c>
      <c r="D15" s="316">
        <f t="shared" si="1"/>
        <v>641364</v>
      </c>
      <c r="E15" s="463">
        <v>3396011</v>
      </c>
      <c r="F15" s="314">
        <v>2982449</v>
      </c>
      <c r="G15" s="316">
        <f t="shared" si="2"/>
        <v>413562</v>
      </c>
      <c r="H15" s="461">
        <v>5162756</v>
      </c>
      <c r="I15" s="462">
        <v>4665333</v>
      </c>
      <c r="J15" s="316">
        <f t="shared" si="3"/>
        <v>497423</v>
      </c>
      <c r="K15" s="297">
        <v>4780398</v>
      </c>
      <c r="L15" s="247">
        <v>4253368</v>
      </c>
      <c r="M15" s="248">
        <f t="shared" si="0"/>
        <v>527030</v>
      </c>
      <c r="N15" s="77">
        <f t="shared" si="4"/>
        <v>-382358</v>
      </c>
      <c r="O15" s="182">
        <f t="shared" si="5"/>
        <v>-411965</v>
      </c>
      <c r="P15" s="78">
        <f t="shared" si="6"/>
        <v>29607</v>
      </c>
      <c r="Q15" s="77">
        <f t="shared" si="7"/>
        <v>1384387</v>
      </c>
      <c r="R15" s="182">
        <f t="shared" si="8"/>
        <v>1270919</v>
      </c>
      <c r="S15" s="78">
        <f t="shared" si="9"/>
        <v>113468</v>
      </c>
      <c r="T15" s="77">
        <f t="shared" si="10"/>
        <v>1766745</v>
      </c>
      <c r="U15" s="182">
        <f t="shared" si="11"/>
        <v>1682884</v>
      </c>
      <c r="V15" s="78">
        <f t="shared" si="12"/>
        <v>83861</v>
      </c>
    </row>
    <row r="16" spans="1:22" ht="15">
      <c r="A16" s="239" t="s">
        <v>379</v>
      </c>
      <c r="B16" s="463">
        <v>513993</v>
      </c>
      <c r="C16" s="314">
        <v>8878</v>
      </c>
      <c r="D16" s="316">
        <f t="shared" si="1"/>
        <v>505115</v>
      </c>
      <c r="E16" s="463">
        <v>631782</v>
      </c>
      <c r="F16" s="314">
        <v>10467</v>
      </c>
      <c r="G16" s="316">
        <f t="shared" si="2"/>
        <v>621315</v>
      </c>
      <c r="H16" s="461">
        <v>318419</v>
      </c>
      <c r="I16" s="462">
        <v>9836</v>
      </c>
      <c r="J16" s="316">
        <f t="shared" si="3"/>
        <v>308583</v>
      </c>
      <c r="K16" s="297">
        <v>401597</v>
      </c>
      <c r="L16" s="247">
        <v>35687</v>
      </c>
      <c r="M16" s="248">
        <f t="shared" si="0"/>
        <v>365910</v>
      </c>
      <c r="N16" s="77">
        <f t="shared" si="4"/>
        <v>83178</v>
      </c>
      <c r="O16" s="182">
        <f t="shared" si="5"/>
        <v>25851</v>
      </c>
      <c r="P16" s="78">
        <f t="shared" si="6"/>
        <v>57327</v>
      </c>
      <c r="Q16" s="77">
        <f t="shared" si="7"/>
        <v>-230185</v>
      </c>
      <c r="R16" s="182">
        <f t="shared" si="8"/>
        <v>25220</v>
      </c>
      <c r="S16" s="78">
        <f t="shared" si="9"/>
        <v>-255405</v>
      </c>
      <c r="T16" s="77">
        <f t="shared" si="10"/>
        <v>-313363</v>
      </c>
      <c r="U16" s="182">
        <f t="shared" si="11"/>
        <v>-631</v>
      </c>
      <c r="V16" s="78">
        <f t="shared" si="12"/>
        <v>-312732</v>
      </c>
    </row>
    <row r="17" spans="1:22" ht="15">
      <c r="A17" s="239" t="s">
        <v>380</v>
      </c>
      <c r="B17" s="463">
        <v>2020608</v>
      </c>
      <c r="C17" s="314">
        <v>55887</v>
      </c>
      <c r="D17" s="316">
        <f t="shared" si="1"/>
        <v>1964721</v>
      </c>
      <c r="E17" s="463">
        <v>1367402</v>
      </c>
      <c r="F17" s="314"/>
      <c r="G17" s="316">
        <f t="shared" si="2"/>
        <v>1367402</v>
      </c>
      <c r="H17" s="461">
        <v>1273738</v>
      </c>
      <c r="I17" s="462">
        <v>8778</v>
      </c>
      <c r="J17" s="316">
        <f t="shared" si="3"/>
        <v>1264960</v>
      </c>
      <c r="K17" s="297">
        <v>1461484</v>
      </c>
      <c r="L17" s="247"/>
      <c r="M17" s="248">
        <f t="shared" si="0"/>
        <v>1461484</v>
      </c>
      <c r="N17" s="77">
        <f t="shared" si="4"/>
        <v>187746</v>
      </c>
      <c r="O17" s="182">
        <f t="shared" si="5"/>
        <v>-8778</v>
      </c>
      <c r="P17" s="78">
        <f t="shared" si="6"/>
        <v>196524</v>
      </c>
      <c r="Q17" s="77">
        <f t="shared" si="7"/>
        <v>94082</v>
      </c>
      <c r="R17" s="182">
        <f t="shared" si="8"/>
        <v>0</v>
      </c>
      <c r="S17" s="78">
        <f t="shared" si="9"/>
        <v>94082</v>
      </c>
      <c r="T17" s="77">
        <f t="shared" si="10"/>
        <v>-93664</v>
      </c>
      <c r="U17" s="182">
        <f t="shared" si="11"/>
        <v>8778</v>
      </c>
      <c r="V17" s="78">
        <f t="shared" si="12"/>
        <v>-102442</v>
      </c>
    </row>
    <row r="18" spans="1:22" ht="15">
      <c r="A18" s="239" t="s">
        <v>381</v>
      </c>
      <c r="B18" s="463">
        <v>1844753</v>
      </c>
      <c r="C18" s="314">
        <v>5455</v>
      </c>
      <c r="D18" s="316">
        <f t="shared" si="1"/>
        <v>1839298</v>
      </c>
      <c r="E18" s="463">
        <v>1531943</v>
      </c>
      <c r="F18" s="314"/>
      <c r="G18" s="316">
        <f t="shared" si="2"/>
        <v>1531943</v>
      </c>
      <c r="H18" s="461">
        <v>2081633</v>
      </c>
      <c r="I18" s="462"/>
      <c r="J18" s="316">
        <f t="shared" si="3"/>
        <v>2081633</v>
      </c>
      <c r="K18" s="297">
        <v>1826985</v>
      </c>
      <c r="L18" s="247"/>
      <c r="M18" s="248">
        <f t="shared" si="0"/>
        <v>1826985</v>
      </c>
      <c r="N18" s="77">
        <f t="shared" si="4"/>
        <v>-254648</v>
      </c>
      <c r="O18" s="182">
        <f t="shared" si="5"/>
        <v>0</v>
      </c>
      <c r="P18" s="78">
        <f t="shared" si="6"/>
        <v>-254648</v>
      </c>
      <c r="Q18" s="77">
        <f t="shared" si="7"/>
        <v>295042</v>
      </c>
      <c r="R18" s="182">
        <f t="shared" si="8"/>
        <v>0</v>
      </c>
      <c r="S18" s="78">
        <f t="shared" si="9"/>
        <v>295042</v>
      </c>
      <c r="T18" s="77">
        <f t="shared" si="10"/>
        <v>549690</v>
      </c>
      <c r="U18" s="182">
        <f t="shared" si="11"/>
        <v>0</v>
      </c>
      <c r="V18" s="78">
        <f t="shared" si="12"/>
        <v>549690</v>
      </c>
    </row>
    <row r="19" spans="1:22" ht="15">
      <c r="A19" s="36"/>
      <c r="B19" s="461"/>
      <c r="C19" s="162"/>
      <c r="D19" s="476"/>
      <c r="E19" s="461"/>
      <c r="F19" s="462"/>
      <c r="G19" s="62"/>
      <c r="H19" s="61"/>
      <c r="I19" s="37"/>
      <c r="J19" s="62"/>
      <c r="K19" s="61"/>
      <c r="L19" s="37"/>
      <c r="M19" s="62"/>
      <c r="N19" s="77">
        <f t="shared" si="4"/>
        <v>0</v>
      </c>
      <c r="O19" s="182">
        <f t="shared" si="5"/>
        <v>0</v>
      </c>
      <c r="P19" s="78">
        <f t="shared" si="6"/>
        <v>0</v>
      </c>
      <c r="Q19" s="77">
        <f t="shared" si="7"/>
        <v>0</v>
      </c>
      <c r="R19" s="182">
        <f t="shared" si="8"/>
        <v>0</v>
      </c>
      <c r="S19" s="78">
        <f t="shared" si="9"/>
        <v>0</v>
      </c>
      <c r="T19" s="77">
        <f t="shared" si="10"/>
        <v>0</v>
      </c>
      <c r="U19" s="182">
        <f t="shared" si="11"/>
        <v>0</v>
      </c>
      <c r="V19" s="78">
        <f t="shared" si="12"/>
        <v>0</v>
      </c>
    </row>
    <row r="20" spans="1:25" ht="15.75" thickBot="1">
      <c r="A20" s="80" t="s">
        <v>190</v>
      </c>
      <c r="B20" s="348">
        <f>+B8-SUM(B9:B19)</f>
        <v>1377565</v>
      </c>
      <c r="C20" s="348">
        <f>+C8-SUM(C9:C19)</f>
        <v>96837</v>
      </c>
      <c r="D20" s="350">
        <f>+D8-SUM(D9:D19)</f>
        <v>1280728</v>
      </c>
      <c r="E20" s="348">
        <f>+E8-SUM(E9:E19)</f>
        <v>1327935.4800000004</v>
      </c>
      <c r="F20" s="349"/>
      <c r="G20" s="83">
        <f>+G8-SUM(G9:G19)</f>
        <v>1209362.4800000004</v>
      </c>
      <c r="H20" s="81">
        <f>+H8-SUM(H9:H19)</f>
        <v>1373538</v>
      </c>
      <c r="I20" s="82"/>
      <c r="J20" s="83">
        <f>+J8-SUM(J9:J19)</f>
        <v>1183004</v>
      </c>
      <c r="K20" s="81">
        <f>+K8-SUM(K9:K19)</f>
        <v>1221427</v>
      </c>
      <c r="L20" s="81">
        <f>+L8-SUM(L9:L19)</f>
        <v>80512</v>
      </c>
      <c r="M20" s="83">
        <f>+M8-SUM(M9:M19)</f>
        <v>1140915</v>
      </c>
      <c r="N20" s="77">
        <f t="shared" si="4"/>
        <v>-152111</v>
      </c>
      <c r="O20" s="182">
        <f t="shared" si="5"/>
        <v>80512</v>
      </c>
      <c r="P20" s="78">
        <f t="shared" si="6"/>
        <v>-42089</v>
      </c>
      <c r="Q20" s="77">
        <f t="shared" si="7"/>
        <v>-106508.48000000045</v>
      </c>
      <c r="R20" s="182">
        <f t="shared" si="8"/>
        <v>80512</v>
      </c>
      <c r="S20" s="78">
        <f t="shared" si="9"/>
        <v>-68447.48000000045</v>
      </c>
      <c r="T20" s="77">
        <f t="shared" si="10"/>
        <v>45602.51999999955</v>
      </c>
      <c r="U20" s="182">
        <f t="shared" si="11"/>
        <v>0</v>
      </c>
      <c r="V20" s="78">
        <f t="shared" si="12"/>
        <v>-26358.480000000447</v>
      </c>
      <c r="X20" s="3">
        <f>+K20/K8</f>
        <v>0.07699481762074505</v>
      </c>
      <c r="Y20" s="3" t="s">
        <v>191</v>
      </c>
    </row>
    <row r="21" spans="1:22" ht="16.5" thickBot="1">
      <c r="A21" s="802" t="s">
        <v>327</v>
      </c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4"/>
    </row>
    <row r="22" spans="1:22" s="245" customFormat="1" ht="14.25">
      <c r="A22" s="616" t="s">
        <v>3</v>
      </c>
      <c r="B22" s="617">
        <f>+'[3]Přehled o rozpočtu_HČ'!E16</f>
        <v>17962535</v>
      </c>
      <c r="C22" s="618">
        <f>+'[3]Přehled o rozpočtu_HČ'!F16</f>
        <v>964104</v>
      </c>
      <c r="D22" s="619">
        <f>+'[3]Přehled o rozpočtu_HČ'!G16</f>
        <v>16998431</v>
      </c>
      <c r="E22" s="617">
        <f>+'Přehled o rozpočtu_HČ'!H16</f>
        <v>46505291.23</v>
      </c>
      <c r="F22" s="618">
        <f>+'Přehled o rozpočtu_HČ'!I16</f>
        <v>627258</v>
      </c>
      <c r="G22" s="619">
        <f>+'Přehled o rozpočtu_HČ'!J16</f>
        <v>45878033.23</v>
      </c>
      <c r="H22" s="617">
        <f>+'Přehled o rozpočtu_HČ'!K16</f>
        <v>30420966</v>
      </c>
      <c r="I22" s="620">
        <f>+'Přehled o rozpočtu_HČ'!L16</f>
        <v>190601</v>
      </c>
      <c r="J22" s="619">
        <f>+'Přehled o rozpočtu_HČ'!M16</f>
        <v>30230365</v>
      </c>
      <c r="K22" s="254">
        <f>+'Přehled o rozpočtu_HČ'!N16</f>
        <v>12233394</v>
      </c>
      <c r="L22" s="256">
        <f>+'Přehled o rozpočtu_HČ'!O16</f>
        <v>7466</v>
      </c>
      <c r="M22" s="255">
        <f>+'Přehled o rozpočtu_HČ'!P16</f>
        <v>12225928</v>
      </c>
      <c r="N22" s="185">
        <f>+$K22-$H22</f>
        <v>-18187572</v>
      </c>
      <c r="O22" s="187">
        <f>+$L22-$I22</f>
        <v>-183135</v>
      </c>
      <c r="P22" s="186">
        <f>+$M22-$J22</f>
        <v>-18004437</v>
      </c>
      <c r="Q22" s="254">
        <f>+$K22-$E22</f>
        <v>-34271897.23</v>
      </c>
      <c r="R22" s="256">
        <f>+$L22-$F22</f>
        <v>-619792</v>
      </c>
      <c r="S22" s="255">
        <f>+$M22-$G22</f>
        <v>-33652105.23</v>
      </c>
      <c r="T22" s="254">
        <f>+$H22-$E22</f>
        <v>-16084325.229999997</v>
      </c>
      <c r="U22" s="256">
        <f>+$I22-$F22</f>
        <v>-436657</v>
      </c>
      <c r="V22" s="255">
        <f>+$J22-$G22</f>
        <v>-15647668.229999997</v>
      </c>
    </row>
    <row r="23" spans="1:22" ht="15">
      <c r="A23" s="249" t="s">
        <v>382</v>
      </c>
      <c r="B23" s="461">
        <v>740347</v>
      </c>
      <c r="C23" s="462"/>
      <c r="D23" s="476">
        <f aca="true" t="shared" si="13" ref="D23:D32">+B23-C23</f>
        <v>740347</v>
      </c>
      <c r="E23" s="461">
        <v>802235</v>
      </c>
      <c r="F23" s="247"/>
      <c r="G23" s="248">
        <f aca="true" t="shared" si="14" ref="G23:G32">+E23-F23</f>
        <v>802235</v>
      </c>
      <c r="H23" s="408">
        <v>421362</v>
      </c>
      <c r="I23" s="247"/>
      <c r="J23" s="248">
        <f aca="true" t="shared" si="15" ref="J23:J32">+H23-I23</f>
        <v>421362</v>
      </c>
      <c r="K23" s="77">
        <v>600442</v>
      </c>
      <c r="L23" s="182"/>
      <c r="M23" s="248">
        <f aca="true" t="shared" si="16" ref="M23:M32">+K23-L23</f>
        <v>600442</v>
      </c>
      <c r="N23" s="77">
        <f aca="true" t="shared" si="17" ref="N23:N34">+$K23-$H23</f>
        <v>179080</v>
      </c>
      <c r="O23" s="182">
        <f aca="true" t="shared" si="18" ref="O23:O34">+$L23-$I23</f>
        <v>0</v>
      </c>
      <c r="P23" s="78">
        <f aca="true" t="shared" si="19" ref="P23:P34">+$M23-$J23</f>
        <v>179080</v>
      </c>
      <c r="Q23" s="77">
        <f aca="true" t="shared" si="20" ref="Q23:Q34">+$K23-$E23</f>
        <v>-201793</v>
      </c>
      <c r="R23" s="182">
        <f aca="true" t="shared" si="21" ref="R23:R34">+$L23-$F23</f>
        <v>0</v>
      </c>
      <c r="S23" s="78">
        <f aca="true" t="shared" si="22" ref="S23:S34">+$M23-$G23</f>
        <v>-201793</v>
      </c>
      <c r="T23" s="77">
        <f aca="true" t="shared" si="23" ref="T23:T34">+$H23-$E23</f>
        <v>-380873</v>
      </c>
      <c r="U23" s="182">
        <f aca="true" t="shared" si="24" ref="U23:U34">+$I23-$F23</f>
        <v>0</v>
      </c>
      <c r="V23" s="78">
        <f aca="true" t="shared" si="25" ref="V23:V34">+$J23-$G23</f>
        <v>-380873</v>
      </c>
    </row>
    <row r="24" spans="1:22" ht="15">
      <c r="A24" s="249" t="s">
        <v>383</v>
      </c>
      <c r="B24" s="461">
        <v>1930972</v>
      </c>
      <c r="C24" s="462"/>
      <c r="D24" s="476">
        <f t="shared" si="13"/>
        <v>1930972</v>
      </c>
      <c r="E24" s="461">
        <v>656398</v>
      </c>
      <c r="F24" s="247"/>
      <c r="G24" s="248">
        <f t="shared" si="14"/>
        <v>656398</v>
      </c>
      <c r="H24" s="461">
        <v>1316132</v>
      </c>
      <c r="I24" s="247"/>
      <c r="J24" s="248">
        <f t="shared" si="15"/>
        <v>1316132</v>
      </c>
      <c r="K24" s="246">
        <v>1609379</v>
      </c>
      <c r="L24" s="247"/>
      <c r="M24" s="248">
        <f t="shared" si="16"/>
        <v>1609379</v>
      </c>
      <c r="N24" s="77">
        <f t="shared" si="17"/>
        <v>293247</v>
      </c>
      <c r="O24" s="182">
        <f t="shared" si="18"/>
        <v>0</v>
      </c>
      <c r="P24" s="78">
        <f t="shared" si="19"/>
        <v>293247</v>
      </c>
      <c r="Q24" s="77">
        <f t="shared" si="20"/>
        <v>952981</v>
      </c>
      <c r="R24" s="182">
        <f t="shared" si="21"/>
        <v>0</v>
      </c>
      <c r="S24" s="78">
        <f t="shared" si="22"/>
        <v>952981</v>
      </c>
      <c r="T24" s="77">
        <f t="shared" si="23"/>
        <v>659734</v>
      </c>
      <c r="U24" s="182">
        <f t="shared" si="24"/>
        <v>0</v>
      </c>
      <c r="V24" s="78">
        <f t="shared" si="25"/>
        <v>659734</v>
      </c>
    </row>
    <row r="25" spans="1:22" ht="15">
      <c r="A25" s="249" t="s">
        <v>384</v>
      </c>
      <c r="B25" s="461">
        <v>843202</v>
      </c>
      <c r="C25" s="462"/>
      <c r="D25" s="476">
        <f t="shared" si="13"/>
        <v>843202</v>
      </c>
      <c r="E25" s="461">
        <v>1152841</v>
      </c>
      <c r="F25" s="247"/>
      <c r="G25" s="248">
        <f t="shared" si="14"/>
        <v>1152841</v>
      </c>
      <c r="H25" s="461">
        <v>1065131</v>
      </c>
      <c r="I25" s="247"/>
      <c r="J25" s="248">
        <f t="shared" si="15"/>
        <v>1065131</v>
      </c>
      <c r="K25" s="246">
        <v>948480</v>
      </c>
      <c r="L25" s="247"/>
      <c r="M25" s="248">
        <f t="shared" si="16"/>
        <v>948480</v>
      </c>
      <c r="N25" s="77">
        <f t="shared" si="17"/>
        <v>-116651</v>
      </c>
      <c r="O25" s="182">
        <f t="shared" si="18"/>
        <v>0</v>
      </c>
      <c r="P25" s="78">
        <f t="shared" si="19"/>
        <v>-116651</v>
      </c>
      <c r="Q25" s="77">
        <f t="shared" si="20"/>
        <v>-204361</v>
      </c>
      <c r="R25" s="182">
        <f t="shared" si="21"/>
        <v>0</v>
      </c>
      <c r="S25" s="78">
        <f t="shared" si="22"/>
        <v>-204361</v>
      </c>
      <c r="T25" s="77">
        <f t="shared" si="23"/>
        <v>-87710</v>
      </c>
      <c r="U25" s="182">
        <f t="shared" si="24"/>
        <v>0</v>
      </c>
      <c r="V25" s="78">
        <f t="shared" si="25"/>
        <v>-87710</v>
      </c>
    </row>
    <row r="26" spans="1:22" ht="15">
      <c r="A26" s="249" t="s">
        <v>385</v>
      </c>
      <c r="B26" s="461">
        <v>1849978</v>
      </c>
      <c r="C26" s="462"/>
      <c r="D26" s="476">
        <f t="shared" si="13"/>
        <v>1849978</v>
      </c>
      <c r="E26" s="461">
        <v>4848919</v>
      </c>
      <c r="F26" s="247"/>
      <c r="G26" s="248">
        <f t="shared" si="14"/>
        <v>4848919</v>
      </c>
      <c r="H26" s="461">
        <v>1158932</v>
      </c>
      <c r="I26" s="247"/>
      <c r="J26" s="248">
        <f t="shared" si="15"/>
        <v>1158932</v>
      </c>
      <c r="K26" s="297">
        <v>1308087</v>
      </c>
      <c r="L26" s="247"/>
      <c r="M26" s="248">
        <f t="shared" si="16"/>
        <v>1308087</v>
      </c>
      <c r="N26" s="77">
        <f t="shared" si="17"/>
        <v>149155</v>
      </c>
      <c r="O26" s="182">
        <f t="shared" si="18"/>
        <v>0</v>
      </c>
      <c r="P26" s="78">
        <f t="shared" si="19"/>
        <v>149155</v>
      </c>
      <c r="Q26" s="77">
        <f t="shared" si="20"/>
        <v>-3540832</v>
      </c>
      <c r="R26" s="182">
        <f t="shared" si="21"/>
        <v>0</v>
      </c>
      <c r="S26" s="78">
        <f t="shared" si="22"/>
        <v>-3540832</v>
      </c>
      <c r="T26" s="77">
        <f t="shared" si="23"/>
        <v>-3689987</v>
      </c>
      <c r="U26" s="182">
        <f t="shared" si="24"/>
        <v>0</v>
      </c>
      <c r="V26" s="78">
        <f t="shared" si="25"/>
        <v>-3689987</v>
      </c>
    </row>
    <row r="27" spans="1:22" ht="15">
      <c r="A27" s="249" t="s">
        <v>328</v>
      </c>
      <c r="B27" s="461">
        <v>1996286</v>
      </c>
      <c r="C27" s="462"/>
      <c r="D27" s="476">
        <f t="shared" si="13"/>
        <v>1996286</v>
      </c>
      <c r="E27" s="461">
        <v>2152582</v>
      </c>
      <c r="F27" s="247"/>
      <c r="G27" s="248">
        <f t="shared" si="14"/>
        <v>2152582</v>
      </c>
      <c r="H27" s="461">
        <v>1625476</v>
      </c>
      <c r="I27" s="247"/>
      <c r="J27" s="248">
        <f t="shared" si="15"/>
        <v>1625476</v>
      </c>
      <c r="K27" s="297">
        <v>1717542</v>
      </c>
      <c r="L27" s="247"/>
      <c r="M27" s="248">
        <f t="shared" si="16"/>
        <v>1717542</v>
      </c>
      <c r="N27" s="77">
        <f t="shared" si="17"/>
        <v>92066</v>
      </c>
      <c r="O27" s="182">
        <f t="shared" si="18"/>
        <v>0</v>
      </c>
      <c r="P27" s="78">
        <f t="shared" si="19"/>
        <v>92066</v>
      </c>
      <c r="Q27" s="77">
        <f t="shared" si="20"/>
        <v>-435040</v>
      </c>
      <c r="R27" s="182">
        <f t="shared" si="21"/>
        <v>0</v>
      </c>
      <c r="S27" s="78">
        <f t="shared" si="22"/>
        <v>-435040</v>
      </c>
      <c r="T27" s="77">
        <f t="shared" si="23"/>
        <v>-527106</v>
      </c>
      <c r="U27" s="182">
        <f t="shared" si="24"/>
        <v>0</v>
      </c>
      <c r="V27" s="78">
        <f t="shared" si="25"/>
        <v>-527106</v>
      </c>
    </row>
    <row r="28" spans="1:22" ht="15">
      <c r="A28" s="249" t="s">
        <v>386</v>
      </c>
      <c r="B28" s="461">
        <v>616057</v>
      </c>
      <c r="C28" s="462"/>
      <c r="D28" s="476">
        <f t="shared" si="13"/>
        <v>616057</v>
      </c>
      <c r="E28" s="461">
        <v>213163</v>
      </c>
      <c r="F28" s="247"/>
      <c r="G28" s="248">
        <f t="shared" si="14"/>
        <v>213163</v>
      </c>
      <c r="H28" s="461">
        <v>335929</v>
      </c>
      <c r="I28" s="247"/>
      <c r="J28" s="248">
        <f t="shared" si="15"/>
        <v>335929</v>
      </c>
      <c r="K28" s="297">
        <v>946185</v>
      </c>
      <c r="L28" s="247"/>
      <c r="M28" s="248">
        <f t="shared" si="16"/>
        <v>946185</v>
      </c>
      <c r="N28" s="77">
        <f t="shared" si="17"/>
        <v>610256</v>
      </c>
      <c r="O28" s="182">
        <f t="shared" si="18"/>
        <v>0</v>
      </c>
      <c r="P28" s="78">
        <f t="shared" si="19"/>
        <v>610256</v>
      </c>
      <c r="Q28" s="77">
        <f t="shared" si="20"/>
        <v>733022</v>
      </c>
      <c r="R28" s="182">
        <f t="shared" si="21"/>
        <v>0</v>
      </c>
      <c r="S28" s="78">
        <f t="shared" si="22"/>
        <v>733022</v>
      </c>
      <c r="T28" s="77">
        <f t="shared" si="23"/>
        <v>122766</v>
      </c>
      <c r="U28" s="182">
        <f t="shared" si="24"/>
        <v>0</v>
      </c>
      <c r="V28" s="78">
        <f t="shared" si="25"/>
        <v>122766</v>
      </c>
    </row>
    <row r="29" spans="1:22" ht="15">
      <c r="A29" s="249" t="s">
        <v>387</v>
      </c>
      <c r="B29" s="461">
        <v>1249478</v>
      </c>
      <c r="C29" s="462"/>
      <c r="D29" s="476">
        <f t="shared" si="13"/>
        <v>1249478</v>
      </c>
      <c r="E29" s="461">
        <v>5201335</v>
      </c>
      <c r="F29" s="247"/>
      <c r="G29" s="248">
        <f t="shared" si="14"/>
        <v>5201335</v>
      </c>
      <c r="H29" s="461">
        <v>0</v>
      </c>
      <c r="I29" s="247"/>
      <c r="J29" s="248">
        <f t="shared" si="15"/>
        <v>0</v>
      </c>
      <c r="K29" s="297">
        <v>10793</v>
      </c>
      <c r="L29" s="247"/>
      <c r="M29" s="248">
        <f t="shared" si="16"/>
        <v>10793</v>
      </c>
      <c r="N29" s="77">
        <f t="shared" si="17"/>
        <v>10793</v>
      </c>
      <c r="O29" s="182">
        <f t="shared" si="18"/>
        <v>0</v>
      </c>
      <c r="P29" s="78">
        <f t="shared" si="19"/>
        <v>10793</v>
      </c>
      <c r="Q29" s="77">
        <f t="shared" si="20"/>
        <v>-5190542</v>
      </c>
      <c r="R29" s="182">
        <f t="shared" si="21"/>
        <v>0</v>
      </c>
      <c r="S29" s="78">
        <f t="shared" si="22"/>
        <v>-5190542</v>
      </c>
      <c r="T29" s="77">
        <f t="shared" si="23"/>
        <v>-5201335</v>
      </c>
      <c r="U29" s="182">
        <f t="shared" si="24"/>
        <v>0</v>
      </c>
      <c r="V29" s="78">
        <f t="shared" si="25"/>
        <v>-5201335</v>
      </c>
    </row>
    <row r="30" spans="1:22" ht="15">
      <c r="A30" s="249" t="s">
        <v>388</v>
      </c>
      <c r="B30" s="461">
        <v>4072654</v>
      </c>
      <c r="C30" s="462"/>
      <c r="D30" s="476">
        <f t="shared" si="13"/>
        <v>4072654</v>
      </c>
      <c r="E30" s="461">
        <v>16442340</v>
      </c>
      <c r="F30" s="247"/>
      <c r="G30" s="248">
        <f t="shared" si="14"/>
        <v>16442340</v>
      </c>
      <c r="H30" s="461">
        <v>21297270</v>
      </c>
      <c r="I30" s="247"/>
      <c r="J30" s="248">
        <f t="shared" si="15"/>
        <v>21297270</v>
      </c>
      <c r="K30" s="297">
        <v>3566659</v>
      </c>
      <c r="L30" s="247"/>
      <c r="M30" s="248">
        <f t="shared" si="16"/>
        <v>3566659</v>
      </c>
      <c r="N30" s="77">
        <f t="shared" si="17"/>
        <v>-17730611</v>
      </c>
      <c r="O30" s="182">
        <f t="shared" si="18"/>
        <v>0</v>
      </c>
      <c r="P30" s="78">
        <f t="shared" si="19"/>
        <v>-17730611</v>
      </c>
      <c r="Q30" s="77">
        <f t="shared" si="20"/>
        <v>-12875681</v>
      </c>
      <c r="R30" s="182">
        <f t="shared" si="21"/>
        <v>0</v>
      </c>
      <c r="S30" s="78">
        <f t="shared" si="22"/>
        <v>-12875681</v>
      </c>
      <c r="T30" s="77">
        <f t="shared" si="23"/>
        <v>4854930</v>
      </c>
      <c r="U30" s="182">
        <f t="shared" si="24"/>
        <v>0</v>
      </c>
      <c r="V30" s="78">
        <f t="shared" si="25"/>
        <v>4854930</v>
      </c>
    </row>
    <row r="31" spans="1:22" ht="15">
      <c r="A31" s="239" t="s">
        <v>389</v>
      </c>
      <c r="B31" s="463">
        <v>365812</v>
      </c>
      <c r="C31" s="314"/>
      <c r="D31" s="316">
        <f t="shared" si="13"/>
        <v>365812</v>
      </c>
      <c r="E31" s="463">
        <v>8309583</v>
      </c>
      <c r="F31" s="314"/>
      <c r="G31" s="316">
        <f t="shared" si="14"/>
        <v>8309583</v>
      </c>
      <c r="H31" s="461">
        <v>349324</v>
      </c>
      <c r="I31" s="314"/>
      <c r="J31" s="316">
        <f t="shared" si="15"/>
        <v>349324</v>
      </c>
      <c r="K31" s="297">
        <v>79852</v>
      </c>
      <c r="L31" s="247"/>
      <c r="M31" s="248">
        <f t="shared" si="16"/>
        <v>79852</v>
      </c>
      <c r="N31" s="77">
        <f t="shared" si="17"/>
        <v>-269472</v>
      </c>
      <c r="O31" s="182">
        <f t="shared" si="18"/>
        <v>0</v>
      </c>
      <c r="P31" s="78">
        <f t="shared" si="19"/>
        <v>-269472</v>
      </c>
      <c r="Q31" s="77">
        <f t="shared" si="20"/>
        <v>-8229731</v>
      </c>
      <c r="R31" s="182">
        <f t="shared" si="21"/>
        <v>0</v>
      </c>
      <c r="S31" s="78">
        <f t="shared" si="22"/>
        <v>-8229731</v>
      </c>
      <c r="T31" s="77">
        <f t="shared" si="23"/>
        <v>-7960259</v>
      </c>
      <c r="U31" s="182">
        <f t="shared" si="24"/>
        <v>0</v>
      </c>
      <c r="V31" s="78">
        <f t="shared" si="25"/>
        <v>-7960259</v>
      </c>
    </row>
    <row r="32" spans="1:22" ht="15">
      <c r="A32" s="239" t="s">
        <v>390</v>
      </c>
      <c r="B32" s="463">
        <v>1080075</v>
      </c>
      <c r="C32" s="314"/>
      <c r="D32" s="316">
        <f t="shared" si="13"/>
        <v>1080075</v>
      </c>
      <c r="E32" s="463">
        <v>1205368</v>
      </c>
      <c r="F32" s="314"/>
      <c r="G32" s="316">
        <f t="shared" si="14"/>
        <v>1205368</v>
      </c>
      <c r="H32" s="461">
        <v>815290</v>
      </c>
      <c r="I32" s="314"/>
      <c r="J32" s="316">
        <f t="shared" si="15"/>
        <v>815290</v>
      </c>
      <c r="K32" s="297">
        <v>956484</v>
      </c>
      <c r="L32" s="247"/>
      <c r="M32" s="248">
        <f t="shared" si="16"/>
        <v>956484</v>
      </c>
      <c r="N32" s="77">
        <f t="shared" si="17"/>
        <v>141194</v>
      </c>
      <c r="O32" s="182">
        <f t="shared" si="18"/>
        <v>0</v>
      </c>
      <c r="P32" s="78">
        <f t="shared" si="19"/>
        <v>141194</v>
      </c>
      <c r="Q32" s="77">
        <f t="shared" si="20"/>
        <v>-248884</v>
      </c>
      <c r="R32" s="182">
        <f t="shared" si="21"/>
        <v>0</v>
      </c>
      <c r="S32" s="78">
        <f t="shared" si="22"/>
        <v>-248884</v>
      </c>
      <c r="T32" s="77">
        <f t="shared" si="23"/>
        <v>-390078</v>
      </c>
      <c r="U32" s="182">
        <f t="shared" si="24"/>
        <v>0</v>
      </c>
      <c r="V32" s="78">
        <f t="shared" si="25"/>
        <v>-390078</v>
      </c>
    </row>
    <row r="33" spans="1:22" ht="15">
      <c r="A33" s="249"/>
      <c r="B33" s="461"/>
      <c r="C33" s="162"/>
      <c r="D33" s="476"/>
      <c r="E33" s="246"/>
      <c r="F33" s="162"/>
      <c r="G33" s="248"/>
      <c r="H33" s="246"/>
      <c r="I33" s="247"/>
      <c r="J33" s="248"/>
      <c r="K33" s="246"/>
      <c r="L33" s="247"/>
      <c r="M33" s="248"/>
      <c r="N33" s="77">
        <f t="shared" si="17"/>
        <v>0</v>
      </c>
      <c r="O33" s="182">
        <f t="shared" si="18"/>
        <v>0</v>
      </c>
      <c r="P33" s="78">
        <f t="shared" si="19"/>
        <v>0</v>
      </c>
      <c r="Q33" s="77">
        <f t="shared" si="20"/>
        <v>0</v>
      </c>
      <c r="R33" s="182">
        <f t="shared" si="21"/>
        <v>0</v>
      </c>
      <c r="S33" s="78">
        <f t="shared" si="22"/>
        <v>0</v>
      </c>
      <c r="T33" s="77">
        <f t="shared" si="23"/>
        <v>0</v>
      </c>
      <c r="U33" s="182">
        <f t="shared" si="24"/>
        <v>0</v>
      </c>
      <c r="V33" s="78">
        <f t="shared" si="25"/>
        <v>0</v>
      </c>
    </row>
    <row r="34" spans="1:22" ht="15.75" thickBot="1">
      <c r="A34" s="250" t="s">
        <v>288</v>
      </c>
      <c r="B34" s="348">
        <f>+B22-SUM(B23:B33)</f>
        <v>3217674</v>
      </c>
      <c r="C34" s="492"/>
      <c r="D34" s="350">
        <f>+D22-SUM(D23:D33)</f>
        <v>2253570</v>
      </c>
      <c r="E34" s="251">
        <f>+E22-SUM(E23:E33)</f>
        <v>5520527.229999997</v>
      </c>
      <c r="F34" s="257"/>
      <c r="G34" s="253">
        <f>+G22-SUM(G23:G33)</f>
        <v>4893269.229999997</v>
      </c>
      <c r="H34" s="251">
        <f>+H22-SUM(H23:H33)</f>
        <v>2036120</v>
      </c>
      <c r="I34" s="252"/>
      <c r="J34" s="253">
        <f>+J22-SUM(J23:J33)</f>
        <v>1845519</v>
      </c>
      <c r="K34" s="251">
        <f>+K22-SUM(K23:K33)</f>
        <v>489491</v>
      </c>
      <c r="L34" s="252"/>
      <c r="M34" s="253">
        <f>+M22-SUM(M23:M33)</f>
        <v>482025</v>
      </c>
      <c r="N34" s="77">
        <f t="shared" si="17"/>
        <v>-1546629</v>
      </c>
      <c r="O34" s="182">
        <f t="shared" si="18"/>
        <v>0</v>
      </c>
      <c r="P34" s="78">
        <f t="shared" si="19"/>
        <v>-1363494</v>
      </c>
      <c r="Q34" s="77">
        <f t="shared" si="20"/>
        <v>-5031036.229999997</v>
      </c>
      <c r="R34" s="182">
        <f t="shared" si="21"/>
        <v>0</v>
      </c>
      <c r="S34" s="78">
        <f t="shared" si="22"/>
        <v>-4411244.229999997</v>
      </c>
      <c r="T34" s="77">
        <f t="shared" si="23"/>
        <v>-3484407.2299999967</v>
      </c>
      <c r="U34" s="182">
        <f t="shared" si="24"/>
        <v>0</v>
      </c>
      <c r="V34" s="78">
        <f t="shared" si="25"/>
        <v>-3047750.2299999967</v>
      </c>
    </row>
    <row r="35" spans="1:22" ht="15.75">
      <c r="A35" s="805" t="s">
        <v>193</v>
      </c>
      <c r="B35" s="806"/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7"/>
    </row>
    <row r="36" spans="1:22" s="188" customFormat="1" ht="14.25">
      <c r="A36" s="615" t="s">
        <v>3</v>
      </c>
      <c r="B36" s="609">
        <f>+'[3]Přehled o rozpočtu_HČ'!E20</f>
        <v>105222761</v>
      </c>
      <c r="C36" s="610">
        <f>+'[3]Přehled o rozpočtu_HČ'!F20</f>
        <v>30845223</v>
      </c>
      <c r="D36" s="611">
        <f>+'[3]Přehled o rozpočtu_HČ'!G20</f>
        <v>74377538</v>
      </c>
      <c r="E36" s="612">
        <f>+'Přehled o rozpočtu_HČ'!H20</f>
        <v>115063277.95</v>
      </c>
      <c r="F36" s="610">
        <f>+'Přehled o rozpočtu_HČ'!I20</f>
        <v>17779316</v>
      </c>
      <c r="G36" s="613">
        <f>+'Přehled o rozpočtu_HČ'!J20</f>
        <v>97283961.95</v>
      </c>
      <c r="H36" s="612">
        <f>+'Přehled o rozpočtu_HČ'!K20</f>
        <v>110639703</v>
      </c>
      <c r="I36" s="614">
        <f>+'Přehled o rozpočtu_HČ'!L20</f>
        <v>21300440</v>
      </c>
      <c r="J36" s="613">
        <f>+'Přehled o rozpočtu_HČ'!M20</f>
        <v>89339263</v>
      </c>
      <c r="K36" s="185">
        <f>+'Přehled o rozpočtu_HČ'!N20</f>
        <v>119042148</v>
      </c>
      <c r="L36" s="187">
        <f>+'Přehled o rozpočtu_HČ'!O20</f>
        <v>25449598</v>
      </c>
      <c r="M36" s="186">
        <f>+'Přehled o rozpočtu_HČ'!P20</f>
        <v>93592550</v>
      </c>
      <c r="N36" s="185">
        <f>+$K36-$H36</f>
        <v>8402445</v>
      </c>
      <c r="O36" s="187">
        <f>+$L36-$I36</f>
        <v>4149158</v>
      </c>
      <c r="P36" s="186">
        <f>+$M36-$J36</f>
        <v>4253287</v>
      </c>
      <c r="Q36" s="185">
        <f>+$K36-$E36</f>
        <v>3978870.049999997</v>
      </c>
      <c r="R36" s="187">
        <f>+$L36-$F36</f>
        <v>7670282</v>
      </c>
      <c r="S36" s="186">
        <f>+$M36-$G36</f>
        <v>-3691411.950000003</v>
      </c>
      <c r="T36" s="185">
        <f>+$H36-$E36</f>
        <v>-4423574.950000003</v>
      </c>
      <c r="U36" s="187">
        <f>+$I36-$F36</f>
        <v>3521124</v>
      </c>
      <c r="V36" s="186">
        <f>+$J36-$G36</f>
        <v>-7944698.950000003</v>
      </c>
    </row>
    <row r="37" spans="1:22" ht="15">
      <c r="A37" s="249" t="s">
        <v>26</v>
      </c>
      <c r="B37" s="461">
        <v>5955590</v>
      </c>
      <c r="C37" s="462"/>
      <c r="D37" s="476">
        <f aca="true" t="shared" si="26" ref="D37:D44">+B37-C37</f>
        <v>5955590</v>
      </c>
      <c r="E37" s="461">
        <v>7032063</v>
      </c>
      <c r="F37" s="462"/>
      <c r="G37" s="248">
        <f aca="true" t="shared" si="27" ref="G37:G44">+E37-F37</f>
        <v>7032063</v>
      </c>
      <c r="H37" s="408">
        <v>5958559</v>
      </c>
      <c r="I37" s="409"/>
      <c r="J37" s="248">
        <f aca="true" t="shared" si="28" ref="J37:J44">+H37-I37</f>
        <v>5958559</v>
      </c>
      <c r="K37" s="77">
        <v>7035043</v>
      </c>
      <c r="L37" s="182"/>
      <c r="M37" s="248">
        <f aca="true" t="shared" si="29" ref="M37:M44">+K37-L37</f>
        <v>7035043</v>
      </c>
      <c r="N37" s="77">
        <f aca="true" t="shared" si="30" ref="N37:N47">+$K37-$H37</f>
        <v>1076484</v>
      </c>
      <c r="O37" s="182">
        <f aca="true" t="shared" si="31" ref="O37:O47">+$L37-$I37</f>
        <v>0</v>
      </c>
      <c r="P37" s="78">
        <f aca="true" t="shared" si="32" ref="P37:P47">+$M37-$J37</f>
        <v>1076484</v>
      </c>
      <c r="Q37" s="77">
        <f aca="true" t="shared" si="33" ref="Q37:Q46">+$K37-$E37</f>
        <v>2980</v>
      </c>
      <c r="R37" s="182">
        <f aca="true" t="shared" si="34" ref="R37:R46">+$L37-$F37</f>
        <v>0</v>
      </c>
      <c r="S37" s="78">
        <f aca="true" t="shared" si="35" ref="S37:S46">+$M37-$G37</f>
        <v>2980</v>
      </c>
      <c r="T37" s="77">
        <f aca="true" t="shared" si="36" ref="T37:T47">+$H37-$E37</f>
        <v>-1073504</v>
      </c>
      <c r="U37" s="182">
        <f aca="true" t="shared" si="37" ref="U37:U47">+$I37-$F37</f>
        <v>0</v>
      </c>
      <c r="V37" s="78">
        <f aca="true" t="shared" si="38" ref="V37:V47">+$J37-$G37</f>
        <v>-1073504</v>
      </c>
    </row>
    <row r="38" spans="1:22" ht="15">
      <c r="A38" s="315" t="s">
        <v>22</v>
      </c>
      <c r="B38" s="461"/>
      <c r="C38" s="462"/>
      <c r="D38" s="476">
        <f t="shared" si="26"/>
        <v>0</v>
      </c>
      <c r="E38" s="461"/>
      <c r="F38" s="462"/>
      <c r="G38" s="248">
        <f t="shared" si="27"/>
        <v>0</v>
      </c>
      <c r="H38" s="408">
        <v>0</v>
      </c>
      <c r="I38" s="409"/>
      <c r="J38" s="248">
        <f t="shared" si="28"/>
        <v>0</v>
      </c>
      <c r="K38" s="77"/>
      <c r="L38" s="182"/>
      <c r="M38" s="248">
        <f t="shared" si="29"/>
        <v>0</v>
      </c>
      <c r="N38" s="77">
        <f t="shared" si="30"/>
        <v>0</v>
      </c>
      <c r="O38" s="182">
        <f t="shared" si="31"/>
        <v>0</v>
      </c>
      <c r="P38" s="78">
        <f t="shared" si="32"/>
        <v>0</v>
      </c>
      <c r="Q38" s="77">
        <f t="shared" si="33"/>
        <v>0</v>
      </c>
      <c r="R38" s="182">
        <f t="shared" si="34"/>
        <v>0</v>
      </c>
      <c r="S38" s="78">
        <f t="shared" si="35"/>
        <v>0</v>
      </c>
      <c r="T38" s="77">
        <f t="shared" si="36"/>
        <v>0</v>
      </c>
      <c r="U38" s="182">
        <f t="shared" si="37"/>
        <v>0</v>
      </c>
      <c r="V38" s="78">
        <f t="shared" si="38"/>
        <v>0</v>
      </c>
    </row>
    <row r="39" spans="1:22" ht="15">
      <c r="A39" s="249" t="s">
        <v>23</v>
      </c>
      <c r="B39" s="461">
        <v>1351701</v>
      </c>
      <c r="C39" s="462"/>
      <c r="D39" s="476">
        <f t="shared" si="26"/>
        <v>1351701</v>
      </c>
      <c r="E39" s="461">
        <v>1349393</v>
      </c>
      <c r="F39" s="462">
        <v>123897</v>
      </c>
      <c r="G39" s="248">
        <f t="shared" si="27"/>
        <v>1225496</v>
      </c>
      <c r="H39" s="408">
        <v>1770695</v>
      </c>
      <c r="I39" s="409">
        <v>176126</v>
      </c>
      <c r="J39" s="248">
        <f t="shared" si="28"/>
        <v>1594569</v>
      </c>
      <c r="K39" s="77">
        <v>699418</v>
      </c>
      <c r="L39" s="182"/>
      <c r="M39" s="248">
        <f t="shared" si="29"/>
        <v>699418</v>
      </c>
      <c r="N39" s="77">
        <f t="shared" si="30"/>
        <v>-1071277</v>
      </c>
      <c r="O39" s="182">
        <f t="shared" si="31"/>
        <v>-176126</v>
      </c>
      <c r="P39" s="78">
        <f t="shared" si="32"/>
        <v>-895151</v>
      </c>
      <c r="Q39" s="77">
        <f t="shared" si="33"/>
        <v>-649975</v>
      </c>
      <c r="R39" s="182">
        <f t="shared" si="34"/>
        <v>-123897</v>
      </c>
      <c r="S39" s="78">
        <f t="shared" si="35"/>
        <v>-526078</v>
      </c>
      <c r="T39" s="77">
        <f t="shared" si="36"/>
        <v>421302</v>
      </c>
      <c r="U39" s="182">
        <f t="shared" si="37"/>
        <v>52229</v>
      </c>
      <c r="V39" s="78">
        <f t="shared" si="38"/>
        <v>369073</v>
      </c>
    </row>
    <row r="40" spans="1:22" ht="15">
      <c r="A40" s="249" t="s">
        <v>24</v>
      </c>
      <c r="B40" s="461">
        <v>573291</v>
      </c>
      <c r="C40" s="462"/>
      <c r="D40" s="476">
        <f t="shared" si="26"/>
        <v>573291</v>
      </c>
      <c r="E40" s="461">
        <v>521459</v>
      </c>
      <c r="F40" s="462"/>
      <c r="G40" s="248">
        <f t="shared" si="27"/>
        <v>521459</v>
      </c>
      <c r="H40" s="408">
        <v>281212</v>
      </c>
      <c r="I40" s="409">
        <v>5311</v>
      </c>
      <c r="J40" s="248">
        <f t="shared" si="28"/>
        <v>275901</v>
      </c>
      <c r="K40" s="77"/>
      <c r="L40" s="182"/>
      <c r="M40" s="248">
        <f t="shared" si="29"/>
        <v>0</v>
      </c>
      <c r="N40" s="77">
        <f t="shared" si="30"/>
        <v>-281212</v>
      </c>
      <c r="O40" s="182">
        <f t="shared" si="31"/>
        <v>-5311</v>
      </c>
      <c r="P40" s="78">
        <f t="shared" si="32"/>
        <v>-275901</v>
      </c>
      <c r="Q40" s="77">
        <f t="shared" si="33"/>
        <v>-521459</v>
      </c>
      <c r="R40" s="182">
        <f t="shared" si="34"/>
        <v>0</v>
      </c>
      <c r="S40" s="78">
        <f t="shared" si="35"/>
        <v>-521459</v>
      </c>
      <c r="T40" s="77">
        <f t="shared" si="36"/>
        <v>-240247</v>
      </c>
      <c r="U40" s="182">
        <f t="shared" si="37"/>
        <v>5311</v>
      </c>
      <c r="V40" s="78">
        <f t="shared" si="38"/>
        <v>-245558</v>
      </c>
    </row>
    <row r="41" spans="1:22" ht="15">
      <c r="A41" s="249" t="s">
        <v>25</v>
      </c>
      <c r="B41" s="461">
        <v>410307</v>
      </c>
      <c r="C41" s="462"/>
      <c r="D41" s="476">
        <f t="shared" si="26"/>
        <v>410307</v>
      </c>
      <c r="E41" s="461">
        <v>346677</v>
      </c>
      <c r="F41" s="462"/>
      <c r="G41" s="248">
        <f t="shared" si="27"/>
        <v>346677</v>
      </c>
      <c r="H41" s="408">
        <v>306385</v>
      </c>
      <c r="I41" s="409"/>
      <c r="J41" s="248">
        <f t="shared" si="28"/>
        <v>306385</v>
      </c>
      <c r="K41" s="77">
        <v>296518</v>
      </c>
      <c r="L41" s="182">
        <v>2715</v>
      </c>
      <c r="M41" s="248">
        <f t="shared" si="29"/>
        <v>293803</v>
      </c>
      <c r="N41" s="77">
        <f t="shared" si="30"/>
        <v>-9867</v>
      </c>
      <c r="O41" s="182">
        <f t="shared" si="31"/>
        <v>2715</v>
      </c>
      <c r="P41" s="78">
        <f t="shared" si="32"/>
        <v>-12582</v>
      </c>
      <c r="Q41" s="77">
        <f t="shared" si="33"/>
        <v>-50159</v>
      </c>
      <c r="R41" s="182">
        <f t="shared" si="34"/>
        <v>2715</v>
      </c>
      <c r="S41" s="78">
        <f t="shared" si="35"/>
        <v>-52874</v>
      </c>
      <c r="T41" s="77">
        <f t="shared" si="36"/>
        <v>-40292</v>
      </c>
      <c r="U41" s="182">
        <f t="shared" si="37"/>
        <v>0</v>
      </c>
      <c r="V41" s="78">
        <f t="shared" si="38"/>
        <v>-40292</v>
      </c>
    </row>
    <row r="42" spans="1:22" ht="15">
      <c r="A42" s="317" t="s">
        <v>391</v>
      </c>
      <c r="B42" s="461"/>
      <c r="C42" s="462"/>
      <c r="D42" s="476">
        <f t="shared" si="26"/>
        <v>0</v>
      </c>
      <c r="E42" s="461"/>
      <c r="F42" s="462"/>
      <c r="G42" s="248">
        <f t="shared" si="27"/>
        <v>0</v>
      </c>
      <c r="H42" s="408">
        <v>0</v>
      </c>
      <c r="I42" s="409">
        <v>0</v>
      </c>
      <c r="J42" s="248">
        <f t="shared" si="28"/>
        <v>0</v>
      </c>
      <c r="K42" s="77"/>
      <c r="L42" s="182"/>
      <c r="M42" s="248">
        <f t="shared" si="29"/>
        <v>0</v>
      </c>
      <c r="N42" s="77">
        <f t="shared" si="30"/>
        <v>0</v>
      </c>
      <c r="O42" s="182">
        <f t="shared" si="31"/>
        <v>0</v>
      </c>
      <c r="P42" s="78">
        <f t="shared" si="32"/>
        <v>0</v>
      </c>
      <c r="Q42" s="77">
        <f t="shared" si="33"/>
        <v>0</v>
      </c>
      <c r="R42" s="182">
        <f t="shared" si="34"/>
        <v>0</v>
      </c>
      <c r="S42" s="78">
        <f t="shared" si="35"/>
        <v>0</v>
      </c>
      <c r="T42" s="77">
        <f t="shared" si="36"/>
        <v>0</v>
      </c>
      <c r="U42" s="182">
        <f t="shared" si="37"/>
        <v>0</v>
      </c>
      <c r="V42" s="78">
        <f t="shared" si="38"/>
        <v>0</v>
      </c>
    </row>
    <row r="43" spans="1:22" ht="15">
      <c r="A43" s="249" t="s">
        <v>392</v>
      </c>
      <c r="B43" s="461">
        <v>53549259</v>
      </c>
      <c r="C43" s="462"/>
      <c r="D43" s="476">
        <f t="shared" si="26"/>
        <v>53549259</v>
      </c>
      <c r="E43" s="461">
        <v>72106067</v>
      </c>
      <c r="F43" s="462"/>
      <c r="G43" s="248">
        <f t="shared" si="27"/>
        <v>72106067</v>
      </c>
      <c r="H43" s="408">
        <v>72890856</v>
      </c>
      <c r="I43" s="409">
        <v>6930000</v>
      </c>
      <c r="J43" s="248">
        <f t="shared" si="28"/>
        <v>65960856</v>
      </c>
      <c r="K43" s="77">
        <v>83641277</v>
      </c>
      <c r="L43" s="182">
        <v>5712000</v>
      </c>
      <c r="M43" s="248">
        <f t="shared" si="29"/>
        <v>77929277</v>
      </c>
      <c r="N43" s="77">
        <f t="shared" si="30"/>
        <v>10750421</v>
      </c>
      <c r="O43" s="182">
        <f t="shared" si="31"/>
        <v>-1218000</v>
      </c>
      <c r="P43" s="78">
        <f t="shared" si="32"/>
        <v>11968421</v>
      </c>
      <c r="Q43" s="77">
        <f t="shared" si="33"/>
        <v>11535210</v>
      </c>
      <c r="R43" s="182">
        <f t="shared" si="34"/>
        <v>5712000</v>
      </c>
      <c r="S43" s="78">
        <f t="shared" si="35"/>
        <v>5823210</v>
      </c>
      <c r="T43" s="77">
        <f t="shared" si="36"/>
        <v>784789</v>
      </c>
      <c r="U43" s="182">
        <f t="shared" si="37"/>
        <v>6930000</v>
      </c>
      <c r="V43" s="78">
        <f t="shared" si="38"/>
        <v>-6145211</v>
      </c>
    </row>
    <row r="44" spans="1:22" ht="15">
      <c r="A44" s="249" t="s">
        <v>653</v>
      </c>
      <c r="B44" s="461">
        <v>39796934</v>
      </c>
      <c r="C44" s="462">
        <v>24102712</v>
      </c>
      <c r="D44" s="476">
        <f t="shared" si="26"/>
        <v>15694222</v>
      </c>
      <c r="E44" s="461">
        <v>29532909</v>
      </c>
      <c r="F44" s="462">
        <v>11177410</v>
      </c>
      <c r="G44" s="248">
        <f t="shared" si="27"/>
        <v>18355499</v>
      </c>
      <c r="H44" s="408">
        <v>25140621</v>
      </c>
      <c r="I44" s="409">
        <v>12451291</v>
      </c>
      <c r="J44" s="248">
        <f t="shared" si="28"/>
        <v>12689330</v>
      </c>
      <c r="K44" s="77">
        <v>25611124</v>
      </c>
      <c r="L44" s="182">
        <v>14038948</v>
      </c>
      <c r="M44" s="248">
        <f t="shared" si="29"/>
        <v>11572176</v>
      </c>
      <c r="N44" s="77">
        <f t="shared" si="30"/>
        <v>470503</v>
      </c>
      <c r="O44" s="182">
        <f t="shared" si="31"/>
        <v>1587657</v>
      </c>
      <c r="P44" s="78">
        <f t="shared" si="32"/>
        <v>-1117154</v>
      </c>
      <c r="Q44" s="77">
        <f t="shared" si="33"/>
        <v>-3921785</v>
      </c>
      <c r="R44" s="182">
        <f t="shared" si="34"/>
        <v>2861538</v>
      </c>
      <c r="S44" s="78">
        <f t="shared" si="35"/>
        <v>-6783323</v>
      </c>
      <c r="T44" s="77">
        <f t="shared" si="36"/>
        <v>-4392288</v>
      </c>
      <c r="U44" s="182">
        <f t="shared" si="37"/>
        <v>1273881</v>
      </c>
      <c r="V44" s="78">
        <f t="shared" si="38"/>
        <v>-5666169</v>
      </c>
    </row>
    <row r="45" spans="1:22" ht="15">
      <c r="A45" s="76"/>
      <c r="B45" s="408"/>
      <c r="C45" s="493"/>
      <c r="D45" s="411"/>
      <c r="E45" s="77"/>
      <c r="F45" s="181"/>
      <c r="G45" s="78"/>
      <c r="H45" s="77"/>
      <c r="I45" s="182"/>
      <c r="J45" s="78"/>
      <c r="K45" s="77"/>
      <c r="L45" s="182"/>
      <c r="M45" s="78"/>
      <c r="N45" s="77">
        <f t="shared" si="30"/>
        <v>0</v>
      </c>
      <c r="O45" s="182">
        <f t="shared" si="31"/>
        <v>0</v>
      </c>
      <c r="P45" s="78">
        <f t="shared" si="32"/>
        <v>0</v>
      </c>
      <c r="Q45" s="77">
        <f t="shared" si="33"/>
        <v>0</v>
      </c>
      <c r="R45" s="182">
        <f t="shared" si="34"/>
        <v>0</v>
      </c>
      <c r="S45" s="78">
        <f t="shared" si="35"/>
        <v>0</v>
      </c>
      <c r="T45" s="77">
        <f t="shared" si="36"/>
        <v>0</v>
      </c>
      <c r="U45" s="182">
        <f t="shared" si="37"/>
        <v>0</v>
      </c>
      <c r="V45" s="78">
        <f t="shared" si="38"/>
        <v>0</v>
      </c>
    </row>
    <row r="46" spans="1:25" ht="15">
      <c r="A46" s="76" t="s">
        <v>190</v>
      </c>
      <c r="B46" s="408">
        <f>+B36-SUM(B37:B45)</f>
        <v>3585679</v>
      </c>
      <c r="C46" s="493"/>
      <c r="D46" s="411">
        <f>+D36-SUM(D37:D45)</f>
        <v>-3156832</v>
      </c>
      <c r="E46" s="77">
        <f>+E36-SUM(E37:E45)</f>
        <v>4174709.950000003</v>
      </c>
      <c r="F46" s="181"/>
      <c r="G46" s="78">
        <f>+G36-SUM(G37:G45)</f>
        <v>-2303299.049999997</v>
      </c>
      <c r="H46" s="77">
        <f>+H36-SUM(H37:H45)</f>
        <v>4291375</v>
      </c>
      <c r="I46" s="182"/>
      <c r="J46" s="78">
        <f>+J36-SUM(J37:J45)</f>
        <v>2553663</v>
      </c>
      <c r="K46" s="732">
        <f>+K36-SUM(K37:K45)</f>
        <v>1758768</v>
      </c>
      <c r="L46" s="462">
        <f>+L36-SUM(L37:L45)</f>
        <v>5695935</v>
      </c>
      <c r="M46" s="78">
        <f>+M36-SUM(M37:M45)</f>
        <v>-3937167</v>
      </c>
      <c r="N46" s="77">
        <f t="shared" si="30"/>
        <v>-2532607</v>
      </c>
      <c r="O46" s="182">
        <f t="shared" si="31"/>
        <v>5695935</v>
      </c>
      <c r="P46" s="78">
        <f t="shared" si="32"/>
        <v>-6490830</v>
      </c>
      <c r="Q46" s="77">
        <f t="shared" si="33"/>
        <v>-2415941.950000003</v>
      </c>
      <c r="R46" s="182">
        <f t="shared" si="34"/>
        <v>5695935</v>
      </c>
      <c r="S46" s="78">
        <f t="shared" si="35"/>
        <v>-1633867.950000003</v>
      </c>
      <c r="T46" s="77">
        <f t="shared" si="36"/>
        <v>116665.04999999702</v>
      </c>
      <c r="U46" s="182">
        <f t="shared" si="37"/>
        <v>0</v>
      </c>
      <c r="V46" s="78">
        <f t="shared" si="38"/>
        <v>4856962.049999997</v>
      </c>
      <c r="X46" s="3">
        <f>+K46/K36</f>
        <v>0.014774330180937259</v>
      </c>
      <c r="Y46" s="3" t="s">
        <v>191</v>
      </c>
    </row>
    <row r="47" spans="1:22" ht="15.75" thickBot="1">
      <c r="A47" s="183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77">
        <f t="shared" si="30"/>
        <v>0</v>
      </c>
      <c r="O47" s="182">
        <f t="shared" si="31"/>
        <v>0</v>
      </c>
      <c r="P47" s="78">
        <f t="shared" si="32"/>
        <v>0</v>
      </c>
      <c r="Q47" s="149"/>
      <c r="R47" s="149"/>
      <c r="S47" s="149"/>
      <c r="T47" s="77">
        <f t="shared" si="36"/>
        <v>0</v>
      </c>
      <c r="U47" s="182">
        <f t="shared" si="37"/>
        <v>0</v>
      </c>
      <c r="V47" s="78">
        <f t="shared" si="38"/>
        <v>0</v>
      </c>
    </row>
    <row r="48" spans="1:22" s="31" customFormat="1" ht="19.5" thickBot="1">
      <c r="A48" s="796" t="s">
        <v>195</v>
      </c>
      <c r="B48" s="797"/>
      <c r="C48" s="797"/>
      <c r="D48" s="797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7"/>
      <c r="P48" s="797"/>
      <c r="Q48" s="797"/>
      <c r="R48" s="797"/>
      <c r="S48" s="797"/>
      <c r="T48" s="797"/>
      <c r="U48" s="797"/>
      <c r="V48" s="798"/>
    </row>
    <row r="49" spans="1:22" ht="18.75">
      <c r="A49" s="796" t="s">
        <v>196</v>
      </c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8"/>
    </row>
    <row r="50" spans="1:22" s="188" customFormat="1" ht="14.25">
      <c r="A50" s="615" t="s">
        <v>3</v>
      </c>
      <c r="B50" s="609">
        <f>+'[3]Přehled o rozpočtu_HČ'!E59</f>
        <v>3338649</v>
      </c>
      <c r="C50" s="610">
        <f>+'[3]Přehled o rozpočtu_HČ'!F59</f>
        <v>0</v>
      </c>
      <c r="D50" s="611">
        <f>+'[3]Přehled o rozpočtu_HČ'!G59</f>
        <v>3338649</v>
      </c>
      <c r="E50" s="612">
        <f>+'Přehled o rozpočtu_HČ'!H59</f>
        <v>3516781.33</v>
      </c>
      <c r="F50" s="610">
        <f>+'Přehled o rozpočtu_HČ'!I59</f>
        <v>0</v>
      </c>
      <c r="G50" s="613">
        <f>+'Přehled o rozpočtu_HČ'!J59</f>
        <v>3516781.33</v>
      </c>
      <c r="H50" s="612">
        <f>+'Přehled o rozpočtu_HČ'!K59</f>
        <v>3509804</v>
      </c>
      <c r="I50" s="614">
        <f>+'Přehled o rozpočtu_HČ'!L59</f>
        <v>0</v>
      </c>
      <c r="J50" s="613">
        <f>+'Přehled o rozpočtu_HČ'!M59</f>
        <v>3509804</v>
      </c>
      <c r="K50" s="185">
        <f>+'Přehled o rozpočtu_HČ'!N59</f>
        <v>3257852</v>
      </c>
      <c r="L50" s="187">
        <f>+'Přehled o rozpočtu_HČ'!O59</f>
        <v>0</v>
      </c>
      <c r="M50" s="186">
        <f>+'Přehled o rozpočtu_HČ'!P59</f>
        <v>3257852</v>
      </c>
      <c r="N50" s="185">
        <f>+$K50-$H50</f>
        <v>-251952</v>
      </c>
      <c r="O50" s="187">
        <f>+$L50-$I50</f>
        <v>0</v>
      </c>
      <c r="P50" s="186">
        <f>+$M50-$J50</f>
        <v>-251952</v>
      </c>
      <c r="Q50" s="185">
        <f>+$K50-$E50</f>
        <v>-258929.33000000007</v>
      </c>
      <c r="R50" s="187">
        <f>+$L50-$F50</f>
        <v>0</v>
      </c>
      <c r="S50" s="186">
        <f>+$M50-$G50</f>
        <v>-258929.33000000007</v>
      </c>
      <c r="T50" s="185">
        <f>+$H50-$E50</f>
        <v>-6977.3300000000745</v>
      </c>
      <c r="U50" s="187">
        <f>+$I50-$F50</f>
        <v>0</v>
      </c>
      <c r="V50" s="186">
        <f>+$J50-$G50</f>
        <v>-6977.3300000000745</v>
      </c>
    </row>
    <row r="51" spans="1:22" ht="15">
      <c r="A51" s="76" t="s">
        <v>387</v>
      </c>
      <c r="B51" s="408">
        <v>572868</v>
      </c>
      <c r="C51" s="409"/>
      <c r="D51" s="476">
        <f>+B51-C51</f>
        <v>572868</v>
      </c>
      <c r="E51" s="408">
        <v>487416</v>
      </c>
      <c r="F51" s="182"/>
      <c r="G51" s="248">
        <f>+E51-F51</f>
        <v>487416</v>
      </c>
      <c r="H51" s="77">
        <v>479788</v>
      </c>
      <c r="I51" s="182"/>
      <c r="J51" s="248">
        <f>+H51-I51</f>
        <v>479788</v>
      </c>
      <c r="K51" s="77">
        <v>515476</v>
      </c>
      <c r="L51" s="182"/>
      <c r="M51" s="248">
        <f>+K51-L51</f>
        <v>515476</v>
      </c>
      <c r="N51" s="77">
        <f aca="true" t="shared" si="39" ref="N51:N58">+$K51-$H51</f>
        <v>35688</v>
      </c>
      <c r="O51" s="182">
        <f aca="true" t="shared" si="40" ref="O51:O58">+$L51-$I51</f>
        <v>0</v>
      </c>
      <c r="P51" s="78">
        <f aca="true" t="shared" si="41" ref="P51:P58">+$M51-$J51</f>
        <v>35688</v>
      </c>
      <c r="Q51" s="77">
        <f aca="true" t="shared" si="42" ref="Q51:Q58">+$K51-$E51</f>
        <v>28060</v>
      </c>
      <c r="R51" s="182">
        <f aca="true" t="shared" si="43" ref="R51:R58">+$L51-$F51</f>
        <v>0</v>
      </c>
      <c r="S51" s="78">
        <f aca="true" t="shared" si="44" ref="S51:S58">+$M51-$G51</f>
        <v>28060</v>
      </c>
      <c r="T51" s="77">
        <f aca="true" t="shared" si="45" ref="T51:T58">+$H51-$E51</f>
        <v>-7628</v>
      </c>
      <c r="U51" s="182">
        <f aca="true" t="shared" si="46" ref="U51:U58">+$I51-$F51</f>
        <v>0</v>
      </c>
      <c r="V51" s="78">
        <f aca="true" t="shared" si="47" ref="V51:V58">+$J51-$G51</f>
        <v>-7628</v>
      </c>
    </row>
    <row r="52" spans="1:22" ht="15">
      <c r="A52" s="249" t="s">
        <v>393</v>
      </c>
      <c r="B52" s="461">
        <v>1244209</v>
      </c>
      <c r="C52" s="462"/>
      <c r="D52" s="476">
        <f>+B52-C52</f>
        <v>1244209</v>
      </c>
      <c r="E52" s="461">
        <v>1467874</v>
      </c>
      <c r="F52" s="247"/>
      <c r="G52" s="248">
        <f>+E52-F52</f>
        <v>1467874</v>
      </c>
      <c r="H52" s="297">
        <v>1354534</v>
      </c>
      <c r="I52" s="247"/>
      <c r="J52" s="248">
        <f>+H52-I52</f>
        <v>1354534</v>
      </c>
      <c r="K52" s="77">
        <v>976517</v>
      </c>
      <c r="L52" s="182"/>
      <c r="M52" s="248">
        <f>+K52-L52</f>
        <v>976517</v>
      </c>
      <c r="N52" s="77">
        <f t="shared" si="39"/>
        <v>-378017</v>
      </c>
      <c r="O52" s="182">
        <f t="shared" si="40"/>
        <v>0</v>
      </c>
      <c r="P52" s="78">
        <f t="shared" si="41"/>
        <v>-378017</v>
      </c>
      <c r="Q52" s="77">
        <f t="shared" si="42"/>
        <v>-491357</v>
      </c>
      <c r="R52" s="182">
        <f t="shared" si="43"/>
        <v>0</v>
      </c>
      <c r="S52" s="78">
        <f t="shared" si="44"/>
        <v>-491357</v>
      </c>
      <c r="T52" s="77">
        <f t="shared" si="45"/>
        <v>-113340</v>
      </c>
      <c r="U52" s="182">
        <f t="shared" si="46"/>
        <v>0</v>
      </c>
      <c r="V52" s="78">
        <f t="shared" si="47"/>
        <v>-113340</v>
      </c>
    </row>
    <row r="53" spans="1:22" ht="15">
      <c r="A53" s="249" t="s">
        <v>394</v>
      </c>
      <c r="B53" s="461">
        <v>924984</v>
      </c>
      <c r="C53" s="462"/>
      <c r="D53" s="476">
        <f>+B53-C53</f>
        <v>924984</v>
      </c>
      <c r="E53" s="461">
        <v>922918</v>
      </c>
      <c r="F53" s="247"/>
      <c r="G53" s="248">
        <f>+E53-F53</f>
        <v>922918</v>
      </c>
      <c r="H53" s="297">
        <v>975466</v>
      </c>
      <c r="I53" s="247"/>
      <c r="J53" s="248">
        <f>+H53-I53</f>
        <v>975466</v>
      </c>
      <c r="K53" s="77">
        <v>984512</v>
      </c>
      <c r="L53" s="182"/>
      <c r="M53" s="248">
        <f>+K53-L53</f>
        <v>984512</v>
      </c>
      <c r="N53" s="77">
        <f t="shared" si="39"/>
        <v>9046</v>
      </c>
      <c r="O53" s="182">
        <f t="shared" si="40"/>
        <v>0</v>
      </c>
      <c r="P53" s="78">
        <f t="shared" si="41"/>
        <v>9046</v>
      </c>
      <c r="Q53" s="77">
        <f t="shared" si="42"/>
        <v>61594</v>
      </c>
      <c r="R53" s="182">
        <f t="shared" si="43"/>
        <v>0</v>
      </c>
      <c r="S53" s="78">
        <f t="shared" si="44"/>
        <v>61594</v>
      </c>
      <c r="T53" s="77">
        <f t="shared" si="45"/>
        <v>52548</v>
      </c>
      <c r="U53" s="182">
        <f t="shared" si="46"/>
        <v>0</v>
      </c>
      <c r="V53" s="78">
        <f t="shared" si="47"/>
        <v>52548</v>
      </c>
    </row>
    <row r="54" spans="1:22" ht="15">
      <c r="A54" s="249" t="s">
        <v>395</v>
      </c>
      <c r="B54" s="461">
        <v>410595</v>
      </c>
      <c r="C54" s="462"/>
      <c r="D54" s="476">
        <f>+B54-C54</f>
        <v>410595</v>
      </c>
      <c r="E54" s="461">
        <v>562528</v>
      </c>
      <c r="F54" s="247"/>
      <c r="G54" s="248">
        <f>+E54-F54</f>
        <v>562528</v>
      </c>
      <c r="H54" s="297">
        <v>563211</v>
      </c>
      <c r="I54" s="247"/>
      <c r="J54" s="248">
        <f>+H54-I54</f>
        <v>563211</v>
      </c>
      <c r="K54" s="77">
        <v>547256</v>
      </c>
      <c r="L54" s="182"/>
      <c r="M54" s="248">
        <f>+K54-L54</f>
        <v>547256</v>
      </c>
      <c r="N54" s="77">
        <f t="shared" si="39"/>
        <v>-15955</v>
      </c>
      <c r="O54" s="182">
        <f t="shared" si="40"/>
        <v>0</v>
      </c>
      <c r="P54" s="78">
        <f t="shared" si="41"/>
        <v>-15955</v>
      </c>
      <c r="Q54" s="77">
        <f t="shared" si="42"/>
        <v>-15272</v>
      </c>
      <c r="R54" s="182">
        <f t="shared" si="43"/>
        <v>0</v>
      </c>
      <c r="S54" s="78">
        <f t="shared" si="44"/>
        <v>-15272</v>
      </c>
      <c r="T54" s="77">
        <f t="shared" si="45"/>
        <v>683</v>
      </c>
      <c r="U54" s="182">
        <f t="shared" si="46"/>
        <v>0</v>
      </c>
      <c r="V54" s="78">
        <f t="shared" si="47"/>
        <v>683</v>
      </c>
    </row>
    <row r="55" spans="1:22" ht="15">
      <c r="A55" s="76"/>
      <c r="B55" s="408"/>
      <c r="C55" s="493"/>
      <c r="D55" s="411"/>
      <c r="E55" s="77"/>
      <c r="F55" s="181"/>
      <c r="G55" s="78"/>
      <c r="H55" s="77"/>
      <c r="I55" s="182"/>
      <c r="J55" s="78"/>
      <c r="K55" s="77"/>
      <c r="L55" s="182"/>
      <c r="M55" s="78"/>
      <c r="N55" s="77">
        <f t="shared" si="39"/>
        <v>0</v>
      </c>
      <c r="O55" s="182">
        <f t="shared" si="40"/>
        <v>0</v>
      </c>
      <c r="P55" s="78">
        <f t="shared" si="41"/>
        <v>0</v>
      </c>
      <c r="Q55" s="77">
        <f t="shared" si="42"/>
        <v>0</v>
      </c>
      <c r="R55" s="182">
        <f t="shared" si="43"/>
        <v>0</v>
      </c>
      <c r="S55" s="78">
        <f t="shared" si="44"/>
        <v>0</v>
      </c>
      <c r="T55" s="77">
        <f t="shared" si="45"/>
        <v>0</v>
      </c>
      <c r="U55" s="182">
        <f t="shared" si="46"/>
        <v>0</v>
      </c>
      <c r="V55" s="78">
        <f t="shared" si="47"/>
        <v>0</v>
      </c>
    </row>
    <row r="56" spans="1:22" ht="15">
      <c r="A56" s="76"/>
      <c r="B56" s="408"/>
      <c r="C56" s="493"/>
      <c r="D56" s="411"/>
      <c r="E56" s="77"/>
      <c r="F56" s="181"/>
      <c r="G56" s="78"/>
      <c r="H56" s="77"/>
      <c r="I56" s="182"/>
      <c r="J56" s="78"/>
      <c r="K56" s="77"/>
      <c r="L56" s="182"/>
      <c r="M56" s="78"/>
      <c r="N56" s="77">
        <f t="shared" si="39"/>
        <v>0</v>
      </c>
      <c r="O56" s="182">
        <f t="shared" si="40"/>
        <v>0</v>
      </c>
      <c r="P56" s="78">
        <f t="shared" si="41"/>
        <v>0</v>
      </c>
      <c r="Q56" s="77">
        <f t="shared" si="42"/>
        <v>0</v>
      </c>
      <c r="R56" s="182">
        <f t="shared" si="43"/>
        <v>0</v>
      </c>
      <c r="S56" s="78">
        <f t="shared" si="44"/>
        <v>0</v>
      </c>
      <c r="T56" s="77">
        <f t="shared" si="45"/>
        <v>0</v>
      </c>
      <c r="U56" s="182">
        <f t="shared" si="46"/>
        <v>0</v>
      </c>
      <c r="V56" s="78">
        <f t="shared" si="47"/>
        <v>0</v>
      </c>
    </row>
    <row r="57" spans="1:24" ht="15">
      <c r="A57" s="76"/>
      <c r="B57" s="408"/>
      <c r="C57" s="493"/>
      <c r="D57" s="411"/>
      <c r="E57" s="77"/>
      <c r="F57" s="181"/>
      <c r="G57" s="78"/>
      <c r="H57" s="77"/>
      <c r="I57" s="182"/>
      <c r="J57" s="78"/>
      <c r="K57" s="77"/>
      <c r="L57" s="182"/>
      <c r="M57" s="78"/>
      <c r="N57" s="77">
        <f t="shared" si="39"/>
        <v>0</v>
      </c>
      <c r="O57" s="182">
        <f t="shared" si="40"/>
        <v>0</v>
      </c>
      <c r="P57" s="78">
        <f t="shared" si="41"/>
        <v>0</v>
      </c>
      <c r="Q57" s="77">
        <f t="shared" si="42"/>
        <v>0</v>
      </c>
      <c r="R57" s="182">
        <f t="shared" si="43"/>
        <v>0</v>
      </c>
      <c r="S57" s="78">
        <f t="shared" si="44"/>
        <v>0</v>
      </c>
      <c r="T57" s="77">
        <f t="shared" si="45"/>
        <v>0</v>
      </c>
      <c r="U57" s="182">
        <f t="shared" si="46"/>
        <v>0</v>
      </c>
      <c r="V57" s="78">
        <f t="shared" si="47"/>
        <v>0</v>
      </c>
      <c r="X57" s="3" t="s">
        <v>189</v>
      </c>
    </row>
    <row r="58" spans="1:25" ht="15.75" thickBot="1">
      <c r="A58" s="189" t="s">
        <v>190</v>
      </c>
      <c r="B58" s="190">
        <f>+B50-SUM(B51:B57)</f>
        <v>185993</v>
      </c>
      <c r="C58" s="191"/>
      <c r="D58" s="192">
        <f>+D50-SUM(D51:D57)</f>
        <v>185993</v>
      </c>
      <c r="E58" s="190">
        <f aca="true" t="shared" si="48" ref="E58:M58">+E50-SUM(E51:E57)</f>
        <v>76045.33000000007</v>
      </c>
      <c r="F58" s="191"/>
      <c r="G58" s="192">
        <f t="shared" si="48"/>
        <v>76045.33000000007</v>
      </c>
      <c r="H58" s="190">
        <f t="shared" si="48"/>
        <v>136805</v>
      </c>
      <c r="I58" s="193"/>
      <c r="J58" s="192">
        <f t="shared" si="48"/>
        <v>136805</v>
      </c>
      <c r="K58" s="190">
        <f t="shared" si="48"/>
        <v>234091</v>
      </c>
      <c r="L58" s="193"/>
      <c r="M58" s="192">
        <f t="shared" si="48"/>
        <v>234091</v>
      </c>
      <c r="N58" s="348">
        <f t="shared" si="39"/>
        <v>97286</v>
      </c>
      <c r="O58" s="349">
        <f t="shared" si="40"/>
        <v>0</v>
      </c>
      <c r="P58" s="350">
        <f t="shared" si="41"/>
        <v>97286</v>
      </c>
      <c r="Q58" s="348">
        <f t="shared" si="42"/>
        <v>158045.66999999993</v>
      </c>
      <c r="R58" s="349">
        <f t="shared" si="43"/>
        <v>0</v>
      </c>
      <c r="S58" s="350">
        <f t="shared" si="44"/>
        <v>158045.66999999993</v>
      </c>
      <c r="T58" s="348">
        <f t="shared" si="45"/>
        <v>60759.669999999925</v>
      </c>
      <c r="U58" s="349">
        <f t="shared" si="46"/>
        <v>0</v>
      </c>
      <c r="V58" s="350">
        <f t="shared" si="47"/>
        <v>60759.669999999925</v>
      </c>
      <c r="X58" s="3">
        <f>+K58/K50</f>
        <v>0.0718543997701553</v>
      </c>
      <c r="Y58" s="3" t="s">
        <v>191</v>
      </c>
    </row>
  </sheetData>
  <sheetProtection/>
  <mergeCells count="17">
    <mergeCell ref="A1:V1"/>
    <mergeCell ref="A49:V49"/>
    <mergeCell ref="A6:V6"/>
    <mergeCell ref="A48:V48"/>
    <mergeCell ref="E4:G4"/>
    <mergeCell ref="H4:J4"/>
    <mergeCell ref="K4:M4"/>
    <mergeCell ref="A3:A5"/>
    <mergeCell ref="A7:V7"/>
    <mergeCell ref="A35:V35"/>
    <mergeCell ref="Q4:S4"/>
    <mergeCell ref="T4:V4"/>
    <mergeCell ref="A21:V21"/>
    <mergeCell ref="B4:D4"/>
    <mergeCell ref="B3:J3"/>
    <mergeCell ref="N4:P4"/>
    <mergeCell ref="K3:M3"/>
  </mergeCells>
  <conditionalFormatting sqref="X20">
    <cfRule type="cellIs" priority="5" dxfId="2" operator="greaterThan">
      <formula>0.2</formula>
    </cfRule>
  </conditionalFormatting>
  <printOptions/>
  <pageMargins left="0.5511811023622047" right="0.15748031496062992" top="0.7480314960629921" bottom="0.3937007874015748" header="0.3937007874015748" footer="0.15748031496062992"/>
  <pageSetup fitToHeight="0" fitToWidth="1" horizontalDpi="600" verticalDpi="600" orientation="landscape" paperSize="8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86" zoomScaleNormal="86" zoomScalePageLayoutView="0" workbookViewId="0" topLeftCell="A1">
      <selection activeCell="D8" sqref="D8"/>
    </sheetView>
  </sheetViews>
  <sheetFormatPr defaultColWidth="9.140625" defaultRowHeight="15"/>
  <cols>
    <col min="1" max="1" width="41.57421875" style="3" customWidth="1"/>
    <col min="2" max="7" width="21.28125" style="3" customWidth="1"/>
    <col min="8" max="8" width="19.57421875" style="3" bestFit="1" customWidth="1"/>
    <col min="9" max="16384" width="9.140625" style="3" customWidth="1"/>
  </cols>
  <sheetData>
    <row r="1" spans="1:7" ht="25.5" customHeight="1" thickBot="1">
      <c r="A1" s="809" t="s">
        <v>324</v>
      </c>
      <c r="B1" s="810"/>
      <c r="C1" s="810"/>
      <c r="D1" s="810"/>
      <c r="E1" s="810"/>
      <c r="F1" s="810"/>
      <c r="G1" s="811"/>
    </row>
    <row r="2" spans="1:7" ht="21" customHeight="1" thickBot="1">
      <c r="A2" s="184" t="s">
        <v>260</v>
      </c>
      <c r="B2" s="184"/>
      <c r="C2" s="30"/>
      <c r="D2" s="30"/>
      <c r="E2" s="30"/>
      <c r="F2" s="30"/>
      <c r="G2" s="30"/>
    </row>
    <row r="3" spans="1:7" ht="22.5" customHeight="1" thickBot="1">
      <c r="A3" s="799" t="s">
        <v>0</v>
      </c>
      <c r="B3" s="788" t="s">
        <v>527</v>
      </c>
      <c r="C3" s="789"/>
      <c r="D3" s="789"/>
      <c r="E3" s="495" t="str">
        <f>CONCATENATE(+titul!$E$11,titul!$F$11)</f>
        <v>leden - prosinec</v>
      </c>
      <c r="F3" s="456"/>
      <c r="G3" s="457"/>
    </row>
    <row r="4" spans="1:7" s="31" customFormat="1" ht="15.75">
      <c r="A4" s="812"/>
      <c r="B4" s="453" t="str">
        <f>+CONCATENATE("skutečnost ",'[3]titul'!$E$10-2)</f>
        <v>skutečnost 2015</v>
      </c>
      <c r="C4" s="455" t="str">
        <f>+CONCATENATE("skutečnost ",titul!$E$10-2)</f>
        <v>skutečnost 2016</v>
      </c>
      <c r="D4" s="284" t="str">
        <f>+CONCATENATE("skutečnost ",titul!$E$10-1)</f>
        <v>skutečnost 2017</v>
      </c>
      <c r="E4" s="496" t="str">
        <f>+CONCATENATE("skutečnost ",titul!$E$10)</f>
        <v>skutečnost 2018</v>
      </c>
      <c r="F4" s="460" t="str">
        <f>+CONCATENATE("odchylka ",titul!$E$10,"-",titul!$E$10-2)</f>
        <v>odchylka 2018-2016</v>
      </c>
      <c r="G4" s="406" t="s">
        <v>528</v>
      </c>
    </row>
    <row r="5" spans="1:7" s="188" customFormat="1" ht="15" thickBot="1">
      <c r="A5" s="285" t="s">
        <v>3</v>
      </c>
      <c r="B5" s="412"/>
      <c r="C5" s="494"/>
      <c r="D5" s="413"/>
      <c r="E5" s="497"/>
      <c r="F5" s="494">
        <f>+E5-C5</f>
        <v>0</v>
      </c>
      <c r="G5" s="414">
        <f>+F5-D5</f>
        <v>0</v>
      </c>
    </row>
    <row r="6" spans="1:7" ht="15">
      <c r="A6" s="318" t="s">
        <v>396</v>
      </c>
      <c r="B6" s="408">
        <v>233993</v>
      </c>
      <c r="C6" s="493">
        <v>117503</v>
      </c>
      <c r="D6" s="410">
        <v>125542</v>
      </c>
      <c r="E6" s="498">
        <v>127933</v>
      </c>
      <c r="F6" s="493">
        <f>+E6-C6</f>
        <v>10430</v>
      </c>
      <c r="G6" s="411">
        <f>+E6-D6</f>
        <v>2391</v>
      </c>
    </row>
    <row r="7" spans="1:7" ht="15">
      <c r="A7" s="319" t="s">
        <v>397</v>
      </c>
      <c r="B7" s="461">
        <v>92923</v>
      </c>
      <c r="C7" s="162">
        <v>65162</v>
      </c>
      <c r="D7" s="286">
        <v>36894</v>
      </c>
      <c r="E7" s="499">
        <v>16178</v>
      </c>
      <c r="F7" s="162">
        <f>+E7-C7</f>
        <v>-48984</v>
      </c>
      <c r="G7" s="248">
        <f>+E7-D7</f>
        <v>-20716</v>
      </c>
    </row>
    <row r="8" spans="1:7" ht="15">
      <c r="A8" s="319" t="s">
        <v>398</v>
      </c>
      <c r="B8" s="461">
        <v>4815280</v>
      </c>
      <c r="C8" s="162">
        <v>5819286</v>
      </c>
      <c r="D8" s="286">
        <v>5703945</v>
      </c>
      <c r="E8" s="499">
        <v>5347778</v>
      </c>
      <c r="F8" s="162">
        <f>+E8-C8</f>
        <v>-471508</v>
      </c>
      <c r="G8" s="248">
        <f aca="true" t="shared" si="0" ref="G8:G19">+E8-D8</f>
        <v>-356167</v>
      </c>
    </row>
    <row r="9" spans="1:7" ht="15">
      <c r="A9" s="319" t="s">
        <v>399</v>
      </c>
      <c r="B9" s="461">
        <v>835291</v>
      </c>
      <c r="C9" s="162">
        <v>823080</v>
      </c>
      <c r="D9" s="286">
        <v>943441</v>
      </c>
      <c r="E9" s="499">
        <v>1149480</v>
      </c>
      <c r="F9" s="162">
        <f>+E9-C9</f>
        <v>326400</v>
      </c>
      <c r="G9" s="248">
        <f t="shared" si="0"/>
        <v>206039</v>
      </c>
    </row>
    <row r="10" spans="1:7" ht="15">
      <c r="A10" s="319" t="s">
        <v>602</v>
      </c>
      <c r="B10" s="461">
        <v>277638</v>
      </c>
      <c r="C10" s="162">
        <v>209547</v>
      </c>
      <c r="D10" s="286">
        <v>169604</v>
      </c>
      <c r="E10" s="499">
        <v>254615</v>
      </c>
      <c r="F10" s="162">
        <f>+E10-C10</f>
        <v>45068</v>
      </c>
      <c r="G10" s="248">
        <f t="shared" si="0"/>
        <v>85011</v>
      </c>
    </row>
    <row r="11" spans="1:7" ht="15">
      <c r="A11" s="319" t="s">
        <v>601</v>
      </c>
      <c r="B11" s="461">
        <v>295652</v>
      </c>
      <c r="C11" s="162">
        <v>305212</v>
      </c>
      <c r="D11" s="286">
        <v>275954</v>
      </c>
      <c r="E11" s="499">
        <v>283170</v>
      </c>
      <c r="F11" s="162">
        <f>+E11-C11</f>
        <v>-22042</v>
      </c>
      <c r="G11" s="476">
        <f t="shared" si="0"/>
        <v>7216</v>
      </c>
    </row>
    <row r="12" spans="1:7" ht="15">
      <c r="A12" s="319" t="s">
        <v>400</v>
      </c>
      <c r="B12" s="461">
        <v>16769</v>
      </c>
      <c r="C12" s="162">
        <v>180150</v>
      </c>
      <c r="D12" s="286">
        <v>85010</v>
      </c>
      <c r="E12" s="499">
        <v>0</v>
      </c>
      <c r="F12" s="162">
        <f>+E12-C12</f>
        <v>-180150</v>
      </c>
      <c r="G12" s="248">
        <f t="shared" si="0"/>
        <v>-85010</v>
      </c>
    </row>
    <row r="13" spans="1:7" ht="15">
      <c r="A13" s="319" t="s">
        <v>401</v>
      </c>
      <c r="B13" s="461">
        <v>10612</v>
      </c>
      <c r="C13" s="162">
        <v>0</v>
      </c>
      <c r="D13" s="286">
        <v>0</v>
      </c>
      <c r="E13" s="499">
        <v>0</v>
      </c>
      <c r="F13" s="162">
        <f>+E13-C13</f>
        <v>0</v>
      </c>
      <c r="G13" s="248">
        <f t="shared" si="0"/>
        <v>0</v>
      </c>
    </row>
    <row r="14" spans="1:7" ht="15">
      <c r="A14" s="319" t="s">
        <v>524</v>
      </c>
      <c r="B14" s="461"/>
      <c r="C14" s="162"/>
      <c r="D14" s="286"/>
      <c r="E14" s="499">
        <v>6500</v>
      </c>
      <c r="F14" s="162">
        <f>+E14-C14</f>
        <v>6500</v>
      </c>
      <c r="G14" s="248">
        <f t="shared" si="0"/>
        <v>6500</v>
      </c>
    </row>
    <row r="15" spans="1:7" ht="15">
      <c r="A15" s="319" t="s">
        <v>402</v>
      </c>
      <c r="B15" s="461">
        <v>1139115</v>
      </c>
      <c r="C15" s="162">
        <v>1058437</v>
      </c>
      <c r="D15" s="286">
        <v>989439</v>
      </c>
      <c r="E15" s="499">
        <v>532894</v>
      </c>
      <c r="F15" s="162">
        <f>+E15-C15</f>
        <v>-525543</v>
      </c>
      <c r="G15" s="248">
        <f t="shared" si="0"/>
        <v>-456545</v>
      </c>
    </row>
    <row r="16" spans="1:7" ht="15">
      <c r="A16" s="319" t="s">
        <v>403</v>
      </c>
      <c r="B16" s="461">
        <v>848554</v>
      </c>
      <c r="C16" s="162">
        <v>852871</v>
      </c>
      <c r="D16" s="286">
        <v>1033581</v>
      </c>
      <c r="E16" s="499">
        <v>933594</v>
      </c>
      <c r="F16" s="162">
        <f>+E16-C16</f>
        <v>80723</v>
      </c>
      <c r="G16" s="248">
        <f t="shared" si="0"/>
        <v>-99987</v>
      </c>
    </row>
    <row r="17" spans="1:7" ht="15">
      <c r="A17" s="319" t="s">
        <v>404</v>
      </c>
      <c r="B17" s="461">
        <v>34193</v>
      </c>
      <c r="C17" s="162">
        <v>9821</v>
      </c>
      <c r="D17" s="286">
        <v>2655</v>
      </c>
      <c r="E17" s="499">
        <v>0</v>
      </c>
      <c r="F17" s="162">
        <f>+E17-C17</f>
        <v>-9821</v>
      </c>
      <c r="G17" s="248">
        <f t="shared" si="0"/>
        <v>-2655</v>
      </c>
    </row>
    <row r="18" spans="1:7" ht="15">
      <c r="A18" s="319" t="s">
        <v>405</v>
      </c>
      <c r="B18" s="461">
        <v>1040520</v>
      </c>
      <c r="C18" s="162">
        <v>1551795</v>
      </c>
      <c r="D18" s="286">
        <v>400825</v>
      </c>
      <c r="E18" s="499">
        <v>1097933</v>
      </c>
      <c r="F18" s="162">
        <f>+E18-C18</f>
        <v>-453862</v>
      </c>
      <c r="G18" s="248">
        <f t="shared" si="0"/>
        <v>697108</v>
      </c>
    </row>
    <row r="19" spans="1:7" ht="15">
      <c r="A19" s="239" t="s">
        <v>600</v>
      </c>
      <c r="B19" s="461"/>
      <c r="C19" s="162"/>
      <c r="D19" s="286"/>
      <c r="E19" s="499">
        <v>640329</v>
      </c>
      <c r="F19" s="162">
        <f>+E19-C19</f>
        <v>640329</v>
      </c>
      <c r="G19" s="248">
        <f t="shared" si="0"/>
        <v>640329</v>
      </c>
    </row>
    <row r="20" spans="1:7" ht="15">
      <c r="A20" s="696"/>
      <c r="B20" s="461"/>
      <c r="C20" s="162"/>
      <c r="D20" s="286"/>
      <c r="E20" s="499"/>
      <c r="F20" s="162">
        <f>+E20-C20</f>
        <v>0</v>
      </c>
      <c r="G20" s="248">
        <f>+E20-D20</f>
        <v>0</v>
      </c>
    </row>
    <row r="21" spans="1:7" ht="15.75" thickBot="1">
      <c r="A21" s="250"/>
      <c r="B21" s="501"/>
      <c r="C21" s="492"/>
      <c r="D21" s="287"/>
      <c r="E21" s="500"/>
      <c r="F21" s="492">
        <f>+E21-C21</f>
        <v>0</v>
      </c>
      <c r="G21" s="253">
        <f>+E21-D21</f>
        <v>0</v>
      </c>
    </row>
    <row r="22" ht="15">
      <c r="A22" s="3" t="s">
        <v>525</v>
      </c>
    </row>
  </sheetData>
  <sheetProtection/>
  <mergeCells count="3">
    <mergeCell ref="A1:G1"/>
    <mergeCell ref="A3:A4"/>
    <mergeCell ref="B3:D3"/>
  </mergeCells>
  <conditionalFormatting sqref="H20">
    <cfRule type="cellIs" priority="1" dxfId="2" operator="greaterThan">
      <formula>0.2</formula>
    </cfRule>
  </conditionalFormatting>
  <printOptions/>
  <pageMargins left="0.5511811023622047" right="0.15748031496062992" top="0.7480314960629921" bottom="0.3937007874015748" header="0.3937007874015748" footer="0.15748031496062992"/>
  <pageSetup fitToHeight="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5.28125" style="3" customWidth="1"/>
    <col min="2" max="2" width="22.7109375" style="3" customWidth="1"/>
    <col min="3" max="3" width="44.7109375" style="3" customWidth="1"/>
    <col min="4" max="4" width="52.00390625" style="3" customWidth="1"/>
    <col min="5" max="5" width="16.140625" style="3" bestFit="1" customWidth="1"/>
    <col min="6" max="6" width="16.7109375" style="3" bestFit="1" customWidth="1"/>
    <col min="7" max="7" width="14.140625" style="3" bestFit="1" customWidth="1"/>
    <col min="8" max="8" width="13.7109375" style="3" customWidth="1"/>
    <col min="9" max="9" width="39.28125" style="3" customWidth="1"/>
    <col min="10" max="16384" width="9.140625" style="3" customWidth="1"/>
  </cols>
  <sheetData>
    <row r="1" spans="1:9" ht="25.5" customHeight="1" thickBot="1">
      <c r="A1" s="809" t="s">
        <v>314</v>
      </c>
      <c r="B1" s="810"/>
      <c r="C1" s="810"/>
      <c r="D1" s="810"/>
      <c r="E1" s="810"/>
      <c r="F1" s="810"/>
      <c r="G1" s="810"/>
      <c r="H1" s="810"/>
      <c r="I1" s="811"/>
    </row>
    <row r="4" spans="1:9" s="31" customFormat="1" ht="15.75">
      <c r="A4" s="240" t="s">
        <v>315</v>
      </c>
      <c r="B4" s="241" t="s">
        <v>316</v>
      </c>
      <c r="C4" s="241" t="s">
        <v>317</v>
      </c>
      <c r="D4" s="241" t="s">
        <v>318</v>
      </c>
      <c r="E4" s="241" t="s">
        <v>319</v>
      </c>
      <c r="F4" s="241" t="s">
        <v>320</v>
      </c>
      <c r="G4" s="242" t="s">
        <v>321</v>
      </c>
      <c r="H4" s="242" t="s">
        <v>322</v>
      </c>
      <c r="I4" s="243" t="s">
        <v>323</v>
      </c>
    </row>
    <row r="5" spans="1:9" s="244" customFormat="1" ht="22.5" customHeight="1">
      <c r="A5" s="715" t="s">
        <v>512</v>
      </c>
      <c r="B5" s="715" t="s">
        <v>406</v>
      </c>
      <c r="C5" s="716" t="s">
        <v>407</v>
      </c>
      <c r="D5" s="717" t="s">
        <v>651</v>
      </c>
      <c r="E5" s="718">
        <v>1</v>
      </c>
      <c r="F5" s="719">
        <v>4175</v>
      </c>
      <c r="G5" s="720">
        <f>F5-H5</f>
        <v>1043.75</v>
      </c>
      <c r="H5" s="720">
        <f>F5/4*3</f>
        <v>3131.25</v>
      </c>
      <c r="I5" s="717" t="s">
        <v>615</v>
      </c>
    </row>
    <row r="6" spans="1:9" s="244" customFormat="1" ht="22.5" customHeight="1">
      <c r="A6" s="715" t="s">
        <v>513</v>
      </c>
      <c r="B6" s="715" t="s">
        <v>417</v>
      </c>
      <c r="C6" s="721" t="s">
        <v>407</v>
      </c>
      <c r="D6" s="717" t="s">
        <v>651</v>
      </c>
      <c r="E6" s="722">
        <v>1</v>
      </c>
      <c r="F6" s="719">
        <v>7431</v>
      </c>
      <c r="G6" s="720">
        <f aca="true" t="shared" si="0" ref="G6:G42">F6-H6</f>
        <v>1857.75</v>
      </c>
      <c r="H6" s="720">
        <f>F6/4*3</f>
        <v>5573.25</v>
      </c>
      <c r="I6" s="717" t="s">
        <v>615</v>
      </c>
    </row>
    <row r="7" spans="1:9" s="244" customFormat="1" ht="22.5" customHeight="1">
      <c r="A7" s="715" t="s">
        <v>516</v>
      </c>
      <c r="B7" s="715" t="s">
        <v>514</v>
      </c>
      <c r="C7" s="721" t="s">
        <v>616</v>
      </c>
      <c r="D7" s="717" t="s">
        <v>651</v>
      </c>
      <c r="E7" s="723">
        <v>1</v>
      </c>
      <c r="F7" s="719">
        <v>36566.85</v>
      </c>
      <c r="G7" s="720">
        <f t="shared" si="0"/>
        <v>36566.85</v>
      </c>
      <c r="H7" s="720">
        <v>0</v>
      </c>
      <c r="I7" s="717"/>
    </row>
    <row r="8" spans="1:9" s="244" customFormat="1" ht="22.5" customHeight="1">
      <c r="A8" s="715" t="s">
        <v>515</v>
      </c>
      <c r="B8" s="715" t="s">
        <v>416</v>
      </c>
      <c r="C8" s="721" t="s">
        <v>617</v>
      </c>
      <c r="D8" s="717" t="s">
        <v>651</v>
      </c>
      <c r="E8" s="724">
        <v>1</v>
      </c>
      <c r="F8" s="719">
        <v>23309</v>
      </c>
      <c r="G8" s="720">
        <f t="shared" si="0"/>
        <v>0</v>
      </c>
      <c r="H8" s="720">
        <v>23309</v>
      </c>
      <c r="I8" s="717" t="s">
        <v>618</v>
      </c>
    </row>
    <row r="9" spans="1:9" s="244" customFormat="1" ht="22.5" customHeight="1">
      <c r="A9" s="715" t="s">
        <v>516</v>
      </c>
      <c r="B9" s="715" t="s">
        <v>406</v>
      </c>
      <c r="C9" s="721" t="s">
        <v>408</v>
      </c>
      <c r="D9" s="717" t="s">
        <v>651</v>
      </c>
      <c r="E9" s="724">
        <v>1</v>
      </c>
      <c r="F9" s="719">
        <v>13482.45</v>
      </c>
      <c r="G9" s="720">
        <f t="shared" si="0"/>
        <v>13482.45</v>
      </c>
      <c r="H9" s="720">
        <v>0</v>
      </c>
      <c r="I9" s="717"/>
    </row>
    <row r="10" spans="1:9" s="244" customFormat="1" ht="22.5" customHeight="1">
      <c r="A10" s="715" t="s">
        <v>517</v>
      </c>
      <c r="B10" s="715" t="s">
        <v>409</v>
      </c>
      <c r="C10" s="721" t="s">
        <v>619</v>
      </c>
      <c r="D10" s="717" t="s">
        <v>651</v>
      </c>
      <c r="E10" s="724">
        <v>7</v>
      </c>
      <c r="F10" s="719">
        <v>32393.72</v>
      </c>
      <c r="G10" s="720">
        <f t="shared" si="0"/>
        <v>32393.72</v>
      </c>
      <c r="H10" s="720">
        <v>0</v>
      </c>
      <c r="I10" s="717"/>
    </row>
    <row r="11" spans="1:9" s="244" customFormat="1" ht="22.5" customHeight="1">
      <c r="A11" s="715" t="s">
        <v>518</v>
      </c>
      <c r="B11" s="715" t="s">
        <v>620</v>
      </c>
      <c r="C11" s="721" t="s">
        <v>621</v>
      </c>
      <c r="D11" s="717" t="s">
        <v>651</v>
      </c>
      <c r="E11" s="724">
        <v>1</v>
      </c>
      <c r="F11" s="719">
        <v>6152</v>
      </c>
      <c r="G11" s="720">
        <f t="shared" si="0"/>
        <v>6152</v>
      </c>
      <c r="H11" s="720">
        <v>0</v>
      </c>
      <c r="I11" s="717"/>
    </row>
    <row r="12" spans="1:9" s="244" customFormat="1" ht="22.5" customHeight="1">
      <c r="A12" s="715" t="s">
        <v>519</v>
      </c>
      <c r="B12" s="715" t="s">
        <v>406</v>
      </c>
      <c r="C12" s="721" t="s">
        <v>407</v>
      </c>
      <c r="D12" s="717" t="s">
        <v>651</v>
      </c>
      <c r="E12" s="724">
        <v>1</v>
      </c>
      <c r="F12" s="719">
        <v>3354.78</v>
      </c>
      <c r="G12" s="720">
        <f t="shared" si="0"/>
        <v>838.6950000000002</v>
      </c>
      <c r="H12" s="720">
        <f>F12/4*3</f>
        <v>2516.085</v>
      </c>
      <c r="I12" s="717" t="s">
        <v>615</v>
      </c>
    </row>
    <row r="13" spans="1:9" s="244" customFormat="1" ht="22.5" customHeight="1">
      <c r="A13" s="715" t="s">
        <v>520</v>
      </c>
      <c r="B13" s="715" t="s">
        <v>521</v>
      </c>
      <c r="C13" s="721" t="s">
        <v>522</v>
      </c>
      <c r="D13" s="717" t="s">
        <v>651</v>
      </c>
      <c r="E13" s="724">
        <v>1</v>
      </c>
      <c r="F13" s="719">
        <v>3787</v>
      </c>
      <c r="G13" s="720">
        <f t="shared" si="0"/>
        <v>3787</v>
      </c>
      <c r="H13" s="720">
        <v>0</v>
      </c>
      <c r="I13" s="717"/>
    </row>
    <row r="14" spans="1:9" s="244" customFormat="1" ht="22.5" customHeight="1">
      <c r="A14" s="715" t="s">
        <v>622</v>
      </c>
      <c r="B14" s="715" t="s">
        <v>416</v>
      </c>
      <c r="C14" s="721" t="s">
        <v>623</v>
      </c>
      <c r="D14" s="717" t="s">
        <v>651</v>
      </c>
      <c r="E14" s="724">
        <v>1</v>
      </c>
      <c r="F14" s="719">
        <v>28299</v>
      </c>
      <c r="G14" s="720">
        <f t="shared" si="0"/>
        <v>0</v>
      </c>
      <c r="H14" s="720">
        <v>28299</v>
      </c>
      <c r="I14" s="717" t="s">
        <v>618</v>
      </c>
    </row>
    <row r="15" spans="1:9" s="244" customFormat="1" ht="22.5" customHeight="1">
      <c r="A15" s="715" t="s">
        <v>584</v>
      </c>
      <c r="B15" s="715" t="s">
        <v>416</v>
      </c>
      <c r="C15" s="721" t="s">
        <v>623</v>
      </c>
      <c r="D15" s="717" t="s">
        <v>651</v>
      </c>
      <c r="E15" s="724">
        <v>1</v>
      </c>
      <c r="F15" s="719">
        <v>29994</v>
      </c>
      <c r="G15" s="720">
        <f t="shared" si="0"/>
        <v>27000</v>
      </c>
      <c r="H15" s="720">
        <v>2994</v>
      </c>
      <c r="I15" s="717" t="s">
        <v>618</v>
      </c>
    </row>
    <row r="16" spans="1:9" s="244" customFormat="1" ht="22.5" customHeight="1">
      <c r="A16" s="715" t="s">
        <v>585</v>
      </c>
      <c r="B16" s="715" t="s">
        <v>586</v>
      </c>
      <c r="C16" s="721" t="s">
        <v>407</v>
      </c>
      <c r="D16" s="717" t="s">
        <v>651</v>
      </c>
      <c r="E16" s="724">
        <v>1</v>
      </c>
      <c r="F16" s="719">
        <v>3601</v>
      </c>
      <c r="G16" s="720">
        <f t="shared" si="0"/>
        <v>900.25</v>
      </c>
      <c r="H16" s="720">
        <f>F16/4*3</f>
        <v>2700.75</v>
      </c>
      <c r="I16" s="717" t="s">
        <v>615</v>
      </c>
    </row>
    <row r="17" spans="1:9" s="244" customFormat="1" ht="22.5" customHeight="1">
      <c r="A17" s="715" t="s">
        <v>585</v>
      </c>
      <c r="B17" s="715" t="s">
        <v>586</v>
      </c>
      <c r="C17" s="721" t="s">
        <v>407</v>
      </c>
      <c r="D17" s="717" t="s">
        <v>651</v>
      </c>
      <c r="E17" s="724">
        <v>1</v>
      </c>
      <c r="F17" s="719">
        <v>1827</v>
      </c>
      <c r="G17" s="720">
        <f t="shared" si="0"/>
        <v>456.75</v>
      </c>
      <c r="H17" s="720">
        <f>F17/4*3</f>
        <v>1370.25</v>
      </c>
      <c r="I17" s="717" t="s">
        <v>615</v>
      </c>
    </row>
    <row r="18" spans="1:9" s="244" customFormat="1" ht="22.5" customHeight="1">
      <c r="A18" s="715" t="s">
        <v>587</v>
      </c>
      <c r="B18" s="715" t="s">
        <v>406</v>
      </c>
      <c r="C18" s="721" t="s">
        <v>588</v>
      </c>
      <c r="D18" s="717" t="s">
        <v>651</v>
      </c>
      <c r="E18" s="724">
        <v>1</v>
      </c>
      <c r="F18" s="719">
        <v>530</v>
      </c>
      <c r="G18" s="720">
        <f t="shared" si="0"/>
        <v>530</v>
      </c>
      <c r="H18" s="720">
        <v>0</v>
      </c>
      <c r="I18" s="717"/>
    </row>
    <row r="19" spans="1:9" s="244" customFormat="1" ht="22.5" customHeight="1">
      <c r="A19" s="715" t="s">
        <v>589</v>
      </c>
      <c r="B19" s="715" t="s">
        <v>417</v>
      </c>
      <c r="C19" s="721" t="s">
        <v>590</v>
      </c>
      <c r="D19" s="717" t="s">
        <v>651</v>
      </c>
      <c r="E19" s="724">
        <v>2</v>
      </c>
      <c r="F19" s="719">
        <v>20174</v>
      </c>
      <c r="G19" s="720">
        <f t="shared" si="0"/>
        <v>20174</v>
      </c>
      <c r="H19" s="720">
        <v>0</v>
      </c>
      <c r="I19" s="717"/>
    </row>
    <row r="20" spans="1:9" s="244" customFormat="1" ht="22.5" customHeight="1">
      <c r="A20" s="715" t="s">
        <v>591</v>
      </c>
      <c r="B20" s="715" t="s">
        <v>521</v>
      </c>
      <c r="C20" s="721" t="s">
        <v>407</v>
      </c>
      <c r="D20" s="717" t="s">
        <v>651</v>
      </c>
      <c r="E20" s="724">
        <v>1</v>
      </c>
      <c r="F20" s="719">
        <v>15745</v>
      </c>
      <c r="G20" s="720">
        <f t="shared" si="0"/>
        <v>3936.25</v>
      </c>
      <c r="H20" s="720">
        <f>F20/4*3</f>
        <v>11808.75</v>
      </c>
      <c r="I20" s="717" t="s">
        <v>615</v>
      </c>
    </row>
    <row r="21" spans="1:9" s="244" customFormat="1" ht="22.5" customHeight="1">
      <c r="A21" s="715" t="s">
        <v>592</v>
      </c>
      <c r="B21" s="715" t="s">
        <v>595</v>
      </c>
      <c r="C21" s="721" t="s">
        <v>593</v>
      </c>
      <c r="D21" s="717" t="s">
        <v>651</v>
      </c>
      <c r="E21" s="724">
        <v>3</v>
      </c>
      <c r="F21" s="719">
        <v>84410.41</v>
      </c>
      <c r="G21" s="720">
        <f t="shared" si="0"/>
        <v>84410.41</v>
      </c>
      <c r="H21" s="720">
        <v>0</v>
      </c>
      <c r="I21" s="717"/>
    </row>
    <row r="22" spans="1:9" s="244" customFormat="1" ht="22.5" customHeight="1">
      <c r="A22" s="715" t="s">
        <v>624</v>
      </c>
      <c r="B22" s="715" t="s">
        <v>594</v>
      </c>
      <c r="C22" s="721" t="s">
        <v>596</v>
      </c>
      <c r="D22" s="717" t="s">
        <v>651</v>
      </c>
      <c r="E22" s="724">
        <v>1</v>
      </c>
      <c r="F22" s="719">
        <v>13527</v>
      </c>
      <c r="G22" s="720">
        <f t="shared" si="0"/>
        <v>13527</v>
      </c>
      <c r="H22" s="720">
        <v>0</v>
      </c>
      <c r="I22" s="717"/>
    </row>
    <row r="23" spans="1:9" s="244" customFormat="1" ht="22.5" customHeight="1">
      <c r="A23" s="715" t="s">
        <v>597</v>
      </c>
      <c r="B23" s="715" t="s">
        <v>406</v>
      </c>
      <c r="C23" s="721" t="s">
        <v>598</v>
      </c>
      <c r="D23" s="717" t="s">
        <v>651</v>
      </c>
      <c r="E23" s="724">
        <v>2</v>
      </c>
      <c r="F23" s="719">
        <v>4485</v>
      </c>
      <c r="G23" s="720">
        <f t="shared" si="0"/>
        <v>4485</v>
      </c>
      <c r="H23" s="720">
        <v>0</v>
      </c>
      <c r="I23" s="717"/>
    </row>
    <row r="24" spans="1:9" s="244" customFormat="1" ht="22.5" customHeight="1">
      <c r="A24" s="715" t="s">
        <v>599</v>
      </c>
      <c r="B24" s="715" t="s">
        <v>416</v>
      </c>
      <c r="C24" s="721" t="s">
        <v>623</v>
      </c>
      <c r="D24" s="717" t="s">
        <v>651</v>
      </c>
      <c r="E24" s="725">
        <v>1</v>
      </c>
      <c r="F24" s="719">
        <v>37332</v>
      </c>
      <c r="G24" s="720">
        <f t="shared" si="0"/>
        <v>0</v>
      </c>
      <c r="H24" s="720">
        <v>37332</v>
      </c>
      <c r="I24" s="717" t="s">
        <v>618</v>
      </c>
    </row>
    <row r="25" spans="1:9" ht="22.5" customHeight="1">
      <c r="A25" s="715" t="s">
        <v>603</v>
      </c>
      <c r="B25" s="715" t="s">
        <v>409</v>
      </c>
      <c r="C25" s="721" t="s">
        <v>625</v>
      </c>
      <c r="D25" s="717" t="s">
        <v>651</v>
      </c>
      <c r="E25" s="725">
        <v>8</v>
      </c>
      <c r="F25" s="719">
        <v>34130</v>
      </c>
      <c r="G25" s="720">
        <f t="shared" si="0"/>
        <v>34130</v>
      </c>
      <c r="H25" s="726">
        <v>0</v>
      </c>
      <c r="I25" s="727"/>
    </row>
    <row r="26" spans="1:9" ht="22.5" customHeight="1">
      <c r="A26" s="715" t="s">
        <v>604</v>
      </c>
      <c r="B26" s="715" t="s">
        <v>416</v>
      </c>
      <c r="C26" s="721" t="s">
        <v>626</v>
      </c>
      <c r="D26" s="717" t="s">
        <v>651</v>
      </c>
      <c r="E26" s="725">
        <v>1</v>
      </c>
      <c r="F26" s="719">
        <v>26880</v>
      </c>
      <c r="G26" s="720">
        <f t="shared" si="0"/>
        <v>0</v>
      </c>
      <c r="H26" s="726">
        <v>26880</v>
      </c>
      <c r="I26" s="717" t="s">
        <v>618</v>
      </c>
    </row>
    <row r="27" spans="1:9" ht="22.5" customHeight="1">
      <c r="A27" s="715" t="s">
        <v>627</v>
      </c>
      <c r="B27" s="715" t="s">
        <v>409</v>
      </c>
      <c r="C27" s="721" t="s">
        <v>628</v>
      </c>
      <c r="D27" s="717" t="s">
        <v>651</v>
      </c>
      <c r="E27" s="725">
        <v>4</v>
      </c>
      <c r="F27" s="719">
        <v>20485</v>
      </c>
      <c r="G27" s="720">
        <f t="shared" si="0"/>
        <v>20485</v>
      </c>
      <c r="H27" s="726">
        <v>0</v>
      </c>
      <c r="I27" s="727"/>
    </row>
    <row r="28" spans="1:9" ht="22.5" customHeight="1">
      <c r="A28" s="715" t="s">
        <v>605</v>
      </c>
      <c r="B28" s="715" t="s">
        <v>606</v>
      </c>
      <c r="C28" s="721" t="s">
        <v>629</v>
      </c>
      <c r="D28" s="717" t="s">
        <v>651</v>
      </c>
      <c r="E28" s="725">
        <v>2</v>
      </c>
      <c r="F28" s="719">
        <v>80454.41</v>
      </c>
      <c r="G28" s="720">
        <f t="shared" si="0"/>
        <v>80454.41</v>
      </c>
      <c r="H28" s="726">
        <v>0</v>
      </c>
      <c r="I28" s="727"/>
    </row>
    <row r="29" spans="1:9" ht="22.5" customHeight="1">
      <c r="A29" s="715" t="s">
        <v>607</v>
      </c>
      <c r="B29" s="715" t="s">
        <v>606</v>
      </c>
      <c r="C29" s="721" t="s">
        <v>629</v>
      </c>
      <c r="D29" s="717" t="s">
        <v>651</v>
      </c>
      <c r="E29" s="725">
        <v>1</v>
      </c>
      <c r="F29" s="719">
        <v>7153</v>
      </c>
      <c r="G29" s="720">
        <f t="shared" si="0"/>
        <v>7153</v>
      </c>
      <c r="H29" s="726">
        <v>0</v>
      </c>
      <c r="I29" s="727"/>
    </row>
    <row r="30" spans="1:9" ht="54" customHeight="1">
      <c r="A30" s="715" t="s">
        <v>608</v>
      </c>
      <c r="B30" s="715" t="s">
        <v>609</v>
      </c>
      <c r="C30" s="721" t="s">
        <v>630</v>
      </c>
      <c r="D30" s="717" t="s">
        <v>651</v>
      </c>
      <c r="E30" s="725">
        <v>2</v>
      </c>
      <c r="F30" s="719">
        <v>17565</v>
      </c>
      <c r="G30" s="720">
        <f t="shared" si="0"/>
        <v>0</v>
      </c>
      <c r="H30" s="726">
        <v>17565</v>
      </c>
      <c r="I30" s="729" t="s">
        <v>631</v>
      </c>
    </row>
    <row r="31" spans="1:9" ht="22.5" customHeight="1">
      <c r="A31" s="715" t="s">
        <v>632</v>
      </c>
      <c r="B31" s="715" t="s">
        <v>586</v>
      </c>
      <c r="C31" s="721" t="s">
        <v>610</v>
      </c>
      <c r="D31" s="717" t="s">
        <v>651</v>
      </c>
      <c r="E31" s="725">
        <v>1</v>
      </c>
      <c r="F31" s="719">
        <v>9545.93</v>
      </c>
      <c r="G31" s="720">
        <f t="shared" si="0"/>
        <v>9545.93</v>
      </c>
      <c r="H31" s="726">
        <v>0</v>
      </c>
      <c r="I31" s="727"/>
    </row>
    <row r="32" spans="1:9" ht="66.75" customHeight="1">
      <c r="A32" s="715" t="s">
        <v>611</v>
      </c>
      <c r="B32" s="715" t="s">
        <v>609</v>
      </c>
      <c r="C32" s="721" t="s">
        <v>630</v>
      </c>
      <c r="D32" s="717" t="s">
        <v>651</v>
      </c>
      <c r="E32" s="725">
        <v>30</v>
      </c>
      <c r="F32" s="719">
        <v>196061.4</v>
      </c>
      <c r="G32" s="720">
        <f t="shared" si="0"/>
        <v>0</v>
      </c>
      <c r="H32" s="726">
        <v>196061.4</v>
      </c>
      <c r="I32" s="729" t="s">
        <v>631</v>
      </c>
    </row>
    <row r="33" spans="1:9" ht="56.25" customHeight="1">
      <c r="A33" s="715" t="s">
        <v>633</v>
      </c>
      <c r="B33" s="715" t="s">
        <v>609</v>
      </c>
      <c r="C33" s="721" t="s">
        <v>630</v>
      </c>
      <c r="D33" s="717" t="s">
        <v>651</v>
      </c>
      <c r="E33" s="728">
        <v>10</v>
      </c>
      <c r="F33" s="719">
        <v>78714</v>
      </c>
      <c r="G33" s="720">
        <f t="shared" si="0"/>
        <v>0</v>
      </c>
      <c r="H33" s="726">
        <v>78714</v>
      </c>
      <c r="I33" s="729" t="s">
        <v>631</v>
      </c>
    </row>
    <row r="34" spans="1:9" ht="22.5" customHeight="1">
      <c r="A34" s="715" t="s">
        <v>634</v>
      </c>
      <c r="B34" s="715" t="s">
        <v>406</v>
      </c>
      <c r="C34" s="721" t="s">
        <v>635</v>
      </c>
      <c r="D34" s="717" t="s">
        <v>651</v>
      </c>
      <c r="E34" s="725">
        <v>1</v>
      </c>
      <c r="F34" s="719">
        <v>8792.4</v>
      </c>
      <c r="G34" s="720">
        <f t="shared" si="0"/>
        <v>8792.4</v>
      </c>
      <c r="H34" s="726">
        <v>0</v>
      </c>
      <c r="I34" s="727"/>
    </row>
    <row r="35" spans="1:9" ht="22.5" customHeight="1">
      <c r="A35" s="715" t="s">
        <v>634</v>
      </c>
      <c r="B35" s="715" t="s">
        <v>636</v>
      </c>
      <c r="C35" s="721" t="s">
        <v>652</v>
      </c>
      <c r="D35" s="717" t="s">
        <v>651</v>
      </c>
      <c r="E35" s="728">
        <v>1</v>
      </c>
      <c r="F35" s="719">
        <v>12133</v>
      </c>
      <c r="G35" s="720">
        <f t="shared" si="0"/>
        <v>12133</v>
      </c>
      <c r="H35" s="726">
        <v>0</v>
      </c>
      <c r="I35" s="727"/>
    </row>
    <row r="36" spans="1:9" ht="22.5" customHeight="1">
      <c r="A36" s="715" t="s">
        <v>637</v>
      </c>
      <c r="B36" s="715" t="s">
        <v>416</v>
      </c>
      <c r="C36" s="721" t="s">
        <v>638</v>
      </c>
      <c r="D36" s="717" t="s">
        <v>651</v>
      </c>
      <c r="E36" s="718">
        <v>1</v>
      </c>
      <c r="F36" s="719">
        <v>15089</v>
      </c>
      <c r="G36" s="720">
        <f t="shared" si="0"/>
        <v>0</v>
      </c>
      <c r="H36" s="726">
        <v>15089</v>
      </c>
      <c r="I36" s="727" t="s">
        <v>639</v>
      </c>
    </row>
    <row r="37" spans="1:9" ht="47.25" customHeight="1">
      <c r="A37" s="715" t="s">
        <v>640</v>
      </c>
      <c r="B37" s="715" t="s">
        <v>609</v>
      </c>
      <c r="C37" s="721" t="s">
        <v>630</v>
      </c>
      <c r="D37" s="717" t="s">
        <v>651</v>
      </c>
      <c r="E37" s="725">
        <v>40</v>
      </c>
      <c r="F37" s="719">
        <v>129193.4</v>
      </c>
      <c r="G37" s="720">
        <f t="shared" si="0"/>
        <v>0.39999999999417923</v>
      </c>
      <c r="H37" s="726">
        <v>129193</v>
      </c>
      <c r="I37" s="729" t="s">
        <v>631</v>
      </c>
    </row>
    <row r="38" spans="1:9" ht="53.25" customHeight="1">
      <c r="A38" s="715" t="s">
        <v>641</v>
      </c>
      <c r="B38" s="715" t="s">
        <v>609</v>
      </c>
      <c r="C38" s="721" t="s">
        <v>630</v>
      </c>
      <c r="D38" s="717" t="s">
        <v>651</v>
      </c>
      <c r="E38" s="725">
        <v>3</v>
      </c>
      <c r="F38" s="719">
        <v>20064</v>
      </c>
      <c r="G38" s="720">
        <f t="shared" si="0"/>
        <v>0</v>
      </c>
      <c r="H38" s="726">
        <v>20064</v>
      </c>
      <c r="I38" s="729" t="s">
        <v>631</v>
      </c>
    </row>
    <row r="39" spans="1:9" ht="52.5" customHeight="1">
      <c r="A39" s="715" t="s">
        <v>642</v>
      </c>
      <c r="B39" s="715" t="s">
        <v>609</v>
      </c>
      <c r="C39" s="721" t="s">
        <v>630</v>
      </c>
      <c r="D39" s="717" t="s">
        <v>651</v>
      </c>
      <c r="E39" s="718">
        <v>4</v>
      </c>
      <c r="F39" s="719">
        <v>23112</v>
      </c>
      <c r="G39" s="720">
        <f t="shared" si="0"/>
        <v>0</v>
      </c>
      <c r="H39" s="726">
        <v>23112</v>
      </c>
      <c r="I39" s="729" t="s">
        <v>631</v>
      </c>
    </row>
    <row r="40" spans="1:9" ht="22.5" customHeight="1">
      <c r="A40" s="715" t="s">
        <v>643</v>
      </c>
      <c r="B40" s="715" t="s">
        <v>644</v>
      </c>
      <c r="C40" s="721" t="s">
        <v>645</v>
      </c>
      <c r="D40" s="717" t="s">
        <v>651</v>
      </c>
      <c r="E40" s="718">
        <v>2</v>
      </c>
      <c r="F40" s="719">
        <v>8684</v>
      </c>
      <c r="G40" s="720">
        <f t="shared" si="0"/>
        <v>8684</v>
      </c>
      <c r="H40" s="726">
        <v>0</v>
      </c>
      <c r="I40" s="727"/>
    </row>
    <row r="41" spans="1:9" ht="22.5" customHeight="1">
      <c r="A41" s="715" t="s">
        <v>646</v>
      </c>
      <c r="B41" s="715" t="s">
        <v>647</v>
      </c>
      <c r="C41" s="721" t="s">
        <v>648</v>
      </c>
      <c r="D41" s="717" t="s">
        <v>651</v>
      </c>
      <c r="E41" s="718">
        <v>1</v>
      </c>
      <c r="F41" s="719">
        <v>9464</v>
      </c>
      <c r="G41" s="720">
        <f t="shared" si="0"/>
        <v>9464</v>
      </c>
      <c r="H41" s="726">
        <v>0</v>
      </c>
      <c r="I41" s="727"/>
    </row>
    <row r="42" spans="1:9" ht="22.5" customHeight="1">
      <c r="A42" s="715" t="s">
        <v>649</v>
      </c>
      <c r="B42" s="715" t="s">
        <v>409</v>
      </c>
      <c r="C42" s="721" t="s">
        <v>650</v>
      </c>
      <c r="D42" s="717" t="s">
        <v>651</v>
      </c>
      <c r="E42" s="718">
        <v>2</v>
      </c>
      <c r="F42" s="719">
        <v>6164</v>
      </c>
      <c r="G42" s="720">
        <f t="shared" si="0"/>
        <v>6164</v>
      </c>
      <c r="H42" s="726">
        <v>0</v>
      </c>
      <c r="I42" s="727"/>
    </row>
    <row r="43" spans="6:8" ht="15">
      <c r="F43" s="407"/>
      <c r="G43" s="407"/>
      <c r="H43" s="407"/>
    </row>
    <row r="44" spans="6:8" ht="15">
      <c r="F44" s="407"/>
      <c r="G44" s="407"/>
      <c r="H44" s="407"/>
    </row>
  </sheetData>
  <sheetProtection/>
  <mergeCells count="1">
    <mergeCell ref="A1:I1"/>
  </mergeCells>
  <printOptions/>
  <pageMargins left="0.5511811023622047" right="0.15748031496062992" top="0.7480314960629921" bottom="0.3937007874015748" header="0.3937007874015748" footer="0.15748031496062992"/>
  <pageSetup fitToHeight="0" fitToWidth="1" horizontalDpi="1800" verticalDpi="18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84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60.28125" style="3" customWidth="1"/>
    <col min="2" max="2" width="9.8515625" style="3" customWidth="1"/>
    <col min="3" max="7" width="17.7109375" style="3" customWidth="1"/>
    <col min="8" max="8" width="16.140625" style="3" customWidth="1"/>
    <col min="9" max="9" width="14.28125" style="3" customWidth="1"/>
    <col min="10" max="16384" width="9.140625" style="3" customWidth="1"/>
  </cols>
  <sheetData>
    <row r="1" ht="15.75" thickBot="1">
      <c r="A1" s="210" t="s">
        <v>369</v>
      </c>
    </row>
    <row r="2" spans="1:8" ht="19.5" thickBot="1">
      <c r="A2" s="809" t="s">
        <v>280</v>
      </c>
      <c r="B2" s="810"/>
      <c r="C2" s="810"/>
      <c r="D2" s="810"/>
      <c r="E2" s="810"/>
      <c r="F2" s="810"/>
      <c r="G2" s="810"/>
      <c r="H2" s="811"/>
    </row>
    <row r="3" ht="15.75" thickBot="1">
      <c r="G3" s="495" t="str">
        <f>CONCATENATE(+titul!$E$11,titul!$F$11)</f>
        <v>leden - prosinec</v>
      </c>
    </row>
    <row r="4" spans="1:8" ht="15" customHeight="1">
      <c r="A4" s="826" t="s">
        <v>244</v>
      </c>
      <c r="B4" s="828" t="s">
        <v>240</v>
      </c>
      <c r="C4" s="834" t="s">
        <v>526</v>
      </c>
      <c r="D4" s="834" t="s">
        <v>534</v>
      </c>
      <c r="E4" s="830" t="s">
        <v>529</v>
      </c>
      <c r="F4" s="830" t="s">
        <v>411</v>
      </c>
      <c r="G4" s="832" t="s">
        <v>523</v>
      </c>
      <c r="H4" s="830" t="s">
        <v>39</v>
      </c>
    </row>
    <row r="5" spans="1:8" ht="15.75" thickBot="1">
      <c r="A5" s="827"/>
      <c r="B5" s="829"/>
      <c r="C5" s="835"/>
      <c r="D5" s="835"/>
      <c r="E5" s="831"/>
      <c r="F5" s="831"/>
      <c r="G5" s="833"/>
      <c r="H5" s="831"/>
    </row>
    <row r="6" spans="1:10" ht="15.75">
      <c r="A6" s="576" t="s">
        <v>275</v>
      </c>
      <c r="B6" s="581" t="s">
        <v>242</v>
      </c>
      <c r="C6" s="677">
        <f>'[5]Zpeněžení DřHm'!$D$5</f>
        <v>5077</v>
      </c>
      <c r="D6" s="578">
        <v>5163</v>
      </c>
      <c r="E6" s="141">
        <v>6807</v>
      </c>
      <c r="F6" s="130">
        <v>2393</v>
      </c>
      <c r="G6" s="130">
        <v>7546</v>
      </c>
      <c r="H6" s="351">
        <f>+G6-F6</f>
        <v>5153</v>
      </c>
      <c r="J6" s="142"/>
    </row>
    <row r="7" spans="1:8" ht="15.75">
      <c r="A7" s="288" t="s">
        <v>276</v>
      </c>
      <c r="B7" s="582" t="s">
        <v>242</v>
      </c>
      <c r="C7" s="674">
        <f>'[5]Zpeněžení DřHm'!$D$6</f>
        <v>93586</v>
      </c>
      <c r="D7" s="579">
        <v>91160</v>
      </c>
      <c r="E7" s="509">
        <v>96011</v>
      </c>
      <c r="F7" s="415">
        <v>97605</v>
      </c>
      <c r="G7" s="415">
        <v>87868</v>
      </c>
      <c r="H7" s="352">
        <f>+G7-F7</f>
        <v>-9737</v>
      </c>
    </row>
    <row r="8" spans="1:8" ht="15.75">
      <c r="A8" s="288" t="s">
        <v>277</v>
      </c>
      <c r="B8" s="582" t="s">
        <v>242</v>
      </c>
      <c r="C8" s="674">
        <f>'[5]Zpeněžení DřHm'!$D$7</f>
        <v>93430</v>
      </c>
      <c r="D8" s="579">
        <v>89583</v>
      </c>
      <c r="E8" s="509">
        <v>100425</v>
      </c>
      <c r="F8" s="415">
        <v>92452</v>
      </c>
      <c r="G8" s="415">
        <v>89987</v>
      </c>
      <c r="H8" s="352">
        <f>+G8-F8</f>
        <v>-2465</v>
      </c>
    </row>
    <row r="9" spans="1:8" ht="16.5" thickBot="1">
      <c r="A9" s="577" t="s">
        <v>278</v>
      </c>
      <c r="B9" s="583" t="s">
        <v>242</v>
      </c>
      <c r="C9" s="678">
        <f>'[5]Zpeněžení DřHm'!$D$8</f>
        <v>5233</v>
      </c>
      <c r="D9" s="580">
        <f>+D6+D7-D8</f>
        <v>6740</v>
      </c>
      <c r="E9" s="354">
        <v>2393</v>
      </c>
      <c r="F9" s="355">
        <v>7546</v>
      </c>
      <c r="G9" s="355">
        <v>5427</v>
      </c>
      <c r="H9" s="356">
        <f>+G9-F9</f>
        <v>-2119</v>
      </c>
    </row>
    <row r="10" spans="1:8" ht="16.5" thickBot="1">
      <c r="A10" s="214"/>
      <c r="B10" s="215"/>
      <c r="C10" s="215"/>
      <c r="D10" s="215"/>
      <c r="E10" s="215"/>
      <c r="F10" s="216"/>
      <c r="G10" s="495" t="str">
        <f>CONCATENATE(+titul!$E$11,titul!$F$11)</f>
        <v>leden - prosinec</v>
      </c>
      <c r="H10" s="31"/>
    </row>
    <row r="11" spans="1:8" ht="15">
      <c r="A11" s="819"/>
      <c r="B11" s="830" t="s">
        <v>240</v>
      </c>
      <c r="C11" s="834" t="s">
        <v>526</v>
      </c>
      <c r="D11" s="838" t="s">
        <v>534</v>
      </c>
      <c r="E11" s="838" t="str">
        <f>+CONCATENATE("skutečnost ",'[6]titul'!$E$10-1)</f>
        <v>skutečnost 2016</v>
      </c>
      <c r="F11" s="830" t="s">
        <v>411</v>
      </c>
      <c r="G11" s="832" t="s">
        <v>523</v>
      </c>
      <c r="H11" s="830" t="s">
        <v>535</v>
      </c>
    </row>
    <row r="12" spans="1:8" ht="15.75" thickBot="1">
      <c r="A12" s="820"/>
      <c r="B12" s="836"/>
      <c r="C12" s="835"/>
      <c r="D12" s="839"/>
      <c r="E12" s="839"/>
      <c r="F12" s="831"/>
      <c r="G12" s="833"/>
      <c r="H12" s="837"/>
    </row>
    <row r="13" spans="1:8" ht="16.5" thickBot="1">
      <c r="A13" s="813" t="s">
        <v>194</v>
      </c>
      <c r="B13" s="814"/>
      <c r="C13" s="814"/>
      <c r="D13" s="814"/>
      <c r="E13" s="814"/>
      <c r="F13" s="814"/>
      <c r="G13" s="814"/>
      <c r="H13" s="815"/>
    </row>
    <row r="14" spans="1:8" ht="15.75">
      <c r="A14" s="357" t="s">
        <v>237</v>
      </c>
      <c r="B14" s="351" t="s">
        <v>273</v>
      </c>
      <c r="C14" s="673">
        <f>'[5]Zpeněžení DřHm'!$D$13</f>
        <v>3973620</v>
      </c>
      <c r="D14" s="553">
        <v>2344470</v>
      </c>
      <c r="E14" s="557">
        <v>2765152</v>
      </c>
      <c r="F14" s="558">
        <v>2590244</v>
      </c>
      <c r="G14" s="559">
        <v>4969874</v>
      </c>
      <c r="H14" s="560">
        <f aca="true" t="shared" si="0" ref="H14:H27">+G14-F14</f>
        <v>2379630</v>
      </c>
    </row>
    <row r="15" spans="1:8" ht="15.75">
      <c r="A15" s="288" t="s">
        <v>236</v>
      </c>
      <c r="B15" s="532" t="s">
        <v>273</v>
      </c>
      <c r="C15" s="674">
        <f>'[5]Zpeněžení DřHm'!$D$14</f>
        <v>42299811</v>
      </c>
      <c r="D15" s="553">
        <v>44080179</v>
      </c>
      <c r="E15" s="561">
        <v>52254280</v>
      </c>
      <c r="F15" s="562">
        <v>61286083</v>
      </c>
      <c r="G15" s="563">
        <v>56831327</v>
      </c>
      <c r="H15" s="564">
        <f t="shared" si="0"/>
        <v>-4454756</v>
      </c>
    </row>
    <row r="16" spans="1:8" ht="15.75">
      <c r="A16" s="288" t="s">
        <v>235</v>
      </c>
      <c r="B16" s="532" t="s">
        <v>273</v>
      </c>
      <c r="C16" s="674">
        <f>'[5]Zpeněžení DřHm'!$D$15</f>
        <v>291444</v>
      </c>
      <c r="D16" s="553">
        <v>490330</v>
      </c>
      <c r="E16" s="561">
        <v>579833</v>
      </c>
      <c r="F16" s="562">
        <v>334620</v>
      </c>
      <c r="G16" s="563">
        <v>691716</v>
      </c>
      <c r="H16" s="564">
        <f t="shared" si="0"/>
        <v>357096</v>
      </c>
    </row>
    <row r="17" spans="1:8" ht="15.75">
      <c r="A17" s="288" t="s">
        <v>234</v>
      </c>
      <c r="B17" s="532" t="s">
        <v>273</v>
      </c>
      <c r="C17" s="674">
        <f>'[5]Zpeněžení DřHm'!$D$16</f>
        <v>144604</v>
      </c>
      <c r="D17" s="553">
        <v>57819</v>
      </c>
      <c r="E17" s="561">
        <v>102562</v>
      </c>
      <c r="F17" s="562">
        <v>10892</v>
      </c>
      <c r="G17" s="563">
        <v>23886</v>
      </c>
      <c r="H17" s="564">
        <f t="shared" si="0"/>
        <v>12994</v>
      </c>
    </row>
    <row r="18" spans="1:8" ht="15.75">
      <c r="A18" s="288" t="s">
        <v>233</v>
      </c>
      <c r="B18" s="532" t="s">
        <v>273</v>
      </c>
      <c r="C18" s="674">
        <f>'[5]Zpeněžení DřHm'!$D$17</f>
        <v>4403557</v>
      </c>
      <c r="D18" s="553">
        <v>2682555</v>
      </c>
      <c r="E18" s="561">
        <v>2177664</v>
      </c>
      <c r="F18" s="562">
        <v>1606564</v>
      </c>
      <c r="G18" s="563">
        <v>3582732</v>
      </c>
      <c r="H18" s="564">
        <f t="shared" si="0"/>
        <v>1976168</v>
      </c>
    </row>
    <row r="19" spans="1:8" ht="15.75">
      <c r="A19" s="288" t="s">
        <v>232</v>
      </c>
      <c r="B19" s="532" t="s">
        <v>273</v>
      </c>
      <c r="C19" s="674">
        <f>'[5]Zpeněžení DřHm'!$D$18</f>
        <v>834581</v>
      </c>
      <c r="D19" s="553">
        <v>758764</v>
      </c>
      <c r="E19" s="561">
        <v>1000655</v>
      </c>
      <c r="F19" s="562">
        <v>684652</v>
      </c>
      <c r="G19" s="563">
        <v>1358240</v>
      </c>
      <c r="H19" s="564">
        <f t="shared" si="0"/>
        <v>673588</v>
      </c>
    </row>
    <row r="20" spans="1:8" ht="15.75">
      <c r="A20" s="288" t="s">
        <v>231</v>
      </c>
      <c r="B20" s="532" t="s">
        <v>273</v>
      </c>
      <c r="C20" s="674">
        <f>'[5]Zpeněžení DřHm'!$D$19</f>
        <v>2846524</v>
      </c>
      <c r="D20" s="553">
        <v>535676</v>
      </c>
      <c r="E20" s="561">
        <v>545810</v>
      </c>
      <c r="F20" s="562">
        <v>1897292</v>
      </c>
      <c r="G20" s="563">
        <v>4244624</v>
      </c>
      <c r="H20" s="564">
        <f t="shared" si="0"/>
        <v>2347332</v>
      </c>
    </row>
    <row r="21" spans="1:8" ht="15.75">
      <c r="A21" s="288" t="s">
        <v>230</v>
      </c>
      <c r="B21" s="532" t="s">
        <v>273</v>
      </c>
      <c r="C21" s="674">
        <f>'[5]Zpeněžení DřHm'!$D$20</f>
        <v>925780</v>
      </c>
      <c r="D21" s="553">
        <v>21777</v>
      </c>
      <c r="E21" s="561">
        <v>16704</v>
      </c>
      <c r="F21" s="562">
        <v>156656</v>
      </c>
      <c r="G21" s="563">
        <v>193513</v>
      </c>
      <c r="H21" s="564">
        <f t="shared" si="0"/>
        <v>36857</v>
      </c>
    </row>
    <row r="22" spans="1:8" ht="15.75">
      <c r="A22" s="288" t="s">
        <v>229</v>
      </c>
      <c r="B22" s="532" t="s">
        <v>273</v>
      </c>
      <c r="C22" s="674">
        <f>'[5]Zpeněžení DřHm'!$D$21</f>
        <v>3708257</v>
      </c>
      <c r="D22" s="553">
        <v>3363757.06</v>
      </c>
      <c r="E22" s="561">
        <v>3640921</v>
      </c>
      <c r="F22" s="562">
        <v>4650464</v>
      </c>
      <c r="G22" s="563">
        <v>4511365</v>
      </c>
      <c r="H22" s="564">
        <f t="shared" si="0"/>
        <v>-139099</v>
      </c>
    </row>
    <row r="23" spans="1:8" ht="16.5" thickBot="1">
      <c r="A23" s="133" t="s">
        <v>228</v>
      </c>
      <c r="B23" s="533" t="s">
        <v>273</v>
      </c>
      <c r="C23" s="675">
        <f>'[5]Zpeněžení DřHm'!$D$22</f>
        <v>5634079</v>
      </c>
      <c r="D23" s="554">
        <v>8223848.5</v>
      </c>
      <c r="E23" s="565">
        <v>9039232</v>
      </c>
      <c r="F23" s="566">
        <v>7015828</v>
      </c>
      <c r="G23" s="567">
        <v>7234000</v>
      </c>
      <c r="H23" s="568">
        <f t="shared" si="0"/>
        <v>218172</v>
      </c>
    </row>
    <row r="24" spans="1:8" ht="16.5" thickBot="1">
      <c r="A24" s="289" t="s">
        <v>227</v>
      </c>
      <c r="B24" s="534" t="s">
        <v>273</v>
      </c>
      <c r="C24" s="555">
        <f>SUM(C14:C23)</f>
        <v>65062257</v>
      </c>
      <c r="D24" s="555">
        <f>SUM(D14:D23)</f>
        <v>62559175.56</v>
      </c>
      <c r="E24" s="569">
        <f>SUM(E14:E23)</f>
        <v>72122813</v>
      </c>
      <c r="F24" s="570">
        <f>SUM(F14:F23)</f>
        <v>80233295</v>
      </c>
      <c r="G24" s="571">
        <f>SUM(G14:G23)</f>
        <v>83641277</v>
      </c>
      <c r="H24" s="572">
        <f t="shared" si="0"/>
        <v>3407982</v>
      </c>
    </row>
    <row r="25" spans="1:8" ht="15.75">
      <c r="A25" s="357" t="s">
        <v>226</v>
      </c>
      <c r="B25" s="535" t="s">
        <v>273</v>
      </c>
      <c r="C25" s="673">
        <f>'[5]Zpeněžení DřHm'!$D$24</f>
        <v>1388968</v>
      </c>
      <c r="D25" s="556">
        <v>1441608.8</v>
      </c>
      <c r="E25" s="557">
        <v>1760242</v>
      </c>
      <c r="F25" s="558">
        <v>1309700</v>
      </c>
      <c r="G25" s="573">
        <v>1627000</v>
      </c>
      <c r="H25" s="560">
        <f t="shared" si="0"/>
        <v>317300</v>
      </c>
    </row>
    <row r="26" spans="1:8" ht="16.5" thickBot="1">
      <c r="A26" s="133" t="s">
        <v>225</v>
      </c>
      <c r="B26" s="533" t="s">
        <v>273</v>
      </c>
      <c r="C26" s="675">
        <f>'[5]Zpeněžení DřHm'!$D$25</f>
        <v>0</v>
      </c>
      <c r="D26" s="554"/>
      <c r="E26" s="574"/>
      <c r="F26" s="575"/>
      <c r="G26" s="567"/>
      <c r="H26" s="568">
        <f t="shared" si="0"/>
        <v>0</v>
      </c>
    </row>
    <row r="27" spans="1:8" ht="16.5" thickBot="1">
      <c r="A27" s="289" t="s">
        <v>224</v>
      </c>
      <c r="B27" s="534" t="s">
        <v>273</v>
      </c>
      <c r="C27" s="555">
        <f>SUM(C24:C26)</f>
        <v>66451225</v>
      </c>
      <c r="D27" s="555">
        <f>SUM(D24:D26)</f>
        <v>64000784.36</v>
      </c>
      <c r="E27" s="569">
        <f>SUM(E24:E26)</f>
        <v>73883055</v>
      </c>
      <c r="F27" s="570">
        <f>SUM(F24:F26)</f>
        <v>81542995</v>
      </c>
      <c r="G27" s="571">
        <f>SUM(G24:G26)</f>
        <v>85268277</v>
      </c>
      <c r="H27" s="572">
        <f t="shared" si="0"/>
        <v>3725282</v>
      </c>
    </row>
    <row r="28" spans="1:8" ht="16.5" thickBot="1">
      <c r="A28" s="813" t="s">
        <v>195</v>
      </c>
      <c r="B28" s="814"/>
      <c r="C28" s="814"/>
      <c r="D28" s="814"/>
      <c r="E28" s="814"/>
      <c r="F28" s="814"/>
      <c r="G28" s="814"/>
      <c r="H28" s="815"/>
    </row>
    <row r="29" spans="1:9" ht="16.5" thickBot="1">
      <c r="A29" s="530" t="s">
        <v>247</v>
      </c>
      <c r="B29" s="584" t="s">
        <v>273</v>
      </c>
      <c r="C29" s="679">
        <f>'[5]Zpeněžení DřHm'!$D$28</f>
        <v>143478800</v>
      </c>
      <c r="D29" s="205">
        <f>'[7]SUM_TAB'!$H$12</f>
        <v>143297082</v>
      </c>
      <c r="E29" s="205">
        <f>'[7]SUM_TAB'!$F$12</f>
        <v>143666690</v>
      </c>
      <c r="F29" s="544">
        <f>'[7]SUM_TAB'!$D$12</f>
        <v>139891573</v>
      </c>
      <c r="G29" s="546">
        <v>110576928</v>
      </c>
      <c r="H29" s="545">
        <f>+G29-F29</f>
        <v>-29314645</v>
      </c>
      <c r="I29" s="358">
        <f>G29/F29</f>
        <v>0.7904473845611844</v>
      </c>
    </row>
    <row r="30" spans="1:8" s="149" customFormat="1" ht="12" customHeight="1" thickBot="1">
      <c r="A30" s="147"/>
      <c r="B30" s="147"/>
      <c r="C30" s="147"/>
      <c r="D30" s="147"/>
      <c r="E30" s="147"/>
      <c r="F30" s="148"/>
      <c r="G30" s="148"/>
      <c r="H30" s="197"/>
    </row>
    <row r="31" spans="1:8" ht="15.75">
      <c r="A31" s="585" t="s">
        <v>223</v>
      </c>
      <c r="B31" s="593" t="s">
        <v>239</v>
      </c>
      <c r="C31" s="201">
        <f>IF(D6=0,0,(C27/C7))</f>
        <v>710.0551898788281</v>
      </c>
      <c r="D31" s="589">
        <f>IF(E6=0,0,(D27/D7))</f>
        <v>702.0709122422115</v>
      </c>
      <c r="E31" s="548">
        <f>IF(F6=0,0,(E27/E7))</f>
        <v>769.5269812833947</v>
      </c>
      <c r="F31" s="513">
        <f>IF(G6=0,0,(F27/F7))</f>
        <v>835.4387070334511</v>
      </c>
      <c r="G31" s="539">
        <f>IF(H6=0,0,(G27/G7))</f>
        <v>970.4133131515455</v>
      </c>
      <c r="H31" s="536">
        <f>+G31-F31</f>
        <v>134.97460611809436</v>
      </c>
    </row>
    <row r="32" spans="1:8" ht="15.75">
      <c r="A32" s="586" t="s">
        <v>222</v>
      </c>
      <c r="B32" s="594" t="s">
        <v>239</v>
      </c>
      <c r="C32" s="512">
        <f>IF(D7=0,0,(C27/C8))</f>
        <v>711.2407684897785</v>
      </c>
      <c r="D32" s="590">
        <f>IF(E7=0,0,(D27/D8))</f>
        <v>714.4300186419298</v>
      </c>
      <c r="E32" s="549">
        <f>IF(F7=0,0,(E27/E8))</f>
        <v>735.7038088125466</v>
      </c>
      <c r="F32" s="516">
        <f>IF(G7=0,0,(F27/F8))</f>
        <v>882.0035802362307</v>
      </c>
      <c r="G32" s="540">
        <f>IF(H7=0,0,(G27/G8))</f>
        <v>947.5621700912354</v>
      </c>
      <c r="H32" s="537">
        <f>+G32-F32</f>
        <v>65.5585898550047</v>
      </c>
    </row>
    <row r="33" spans="1:8" ht="16.5" thickBot="1">
      <c r="A33" s="587" t="s">
        <v>221</v>
      </c>
      <c r="B33" s="595" t="s">
        <v>239</v>
      </c>
      <c r="C33" s="362">
        <f>IF(D7=0,0,(C29/C8))</f>
        <v>1535.682329016376</v>
      </c>
      <c r="D33" s="591">
        <f>IF(E7=0,0,(D29/D8))</f>
        <v>1599.6012859582734</v>
      </c>
      <c r="E33" s="550">
        <f>IF(F7=0,0,(E29/E8))</f>
        <v>1430.5869056509832</v>
      </c>
      <c r="F33" s="364">
        <f>IF(G7=0,0,(F29/F8))</f>
        <v>1513.1265197075238</v>
      </c>
      <c r="G33" s="541">
        <f>IF(H7=0,0,(G29/G8))</f>
        <v>1228.8100281151721</v>
      </c>
      <c r="H33" s="537">
        <f>+G33-F33</f>
        <v>-284.31649159235167</v>
      </c>
    </row>
    <row r="34" spans="1:8" ht="16.5" thickBot="1">
      <c r="A34" s="588" t="s">
        <v>238</v>
      </c>
      <c r="B34" s="596" t="s">
        <v>239</v>
      </c>
      <c r="C34" s="207">
        <f>+C33-C32</f>
        <v>824.4415605265974</v>
      </c>
      <c r="D34" s="592">
        <f>+D33-D32</f>
        <v>885.1712673163436</v>
      </c>
      <c r="E34" s="551">
        <f>+E33-E32</f>
        <v>694.8830968384366</v>
      </c>
      <c r="F34" s="518">
        <f>+F33-F32</f>
        <v>631.1229394712931</v>
      </c>
      <c r="G34" s="542">
        <f>+G33-G32</f>
        <v>281.2478580239367</v>
      </c>
      <c r="H34" s="538">
        <f>+G34-F34</f>
        <v>-349.87508144735637</v>
      </c>
    </row>
    <row r="35" spans="1:8" ht="16.5" thickBot="1">
      <c r="A35" s="519" t="s">
        <v>531</v>
      </c>
      <c r="B35" s="597" t="s">
        <v>239</v>
      </c>
      <c r="C35" s="680">
        <f>C33-C31</f>
        <v>825.6271391375478</v>
      </c>
      <c r="D35" s="520">
        <f>D33-D31</f>
        <v>897.5303737160618</v>
      </c>
      <c r="E35" s="552">
        <f>E33-E31</f>
        <v>661.0599243675886</v>
      </c>
      <c r="F35" s="521">
        <f>F33-F31</f>
        <v>677.6878126740727</v>
      </c>
      <c r="G35" s="543">
        <f>G33-G31</f>
        <v>258.39671496362666</v>
      </c>
      <c r="H35" s="522">
        <f>G35-F35</f>
        <v>-419.291097710446</v>
      </c>
    </row>
    <row r="36" spans="1:9" ht="16.5" thickBot="1">
      <c r="A36" s="531" t="s">
        <v>533</v>
      </c>
      <c r="B36" s="547"/>
      <c r="C36" s="681">
        <f>+C29-C27</f>
        <v>77027575</v>
      </c>
      <c r="D36" s="598">
        <f>+D29-D27</f>
        <v>79296297.64</v>
      </c>
      <c r="E36" s="598">
        <f>+E29-E27</f>
        <v>69783635</v>
      </c>
      <c r="F36" s="599">
        <f>+F29-F27</f>
        <v>58348578</v>
      </c>
      <c r="G36" s="600">
        <f>+G29-G27</f>
        <v>25308651</v>
      </c>
      <c r="H36" s="601">
        <f>G36-F36</f>
        <v>-33039927</v>
      </c>
      <c r="I36" s="529"/>
    </row>
    <row r="37" spans="1:9" ht="15.75">
      <c r="A37" s="147"/>
      <c r="B37" s="147"/>
      <c r="C37" s="147"/>
      <c r="D37" s="147"/>
      <c r="E37" s="529"/>
      <c r="F37" s="529"/>
      <c r="G37" s="529"/>
      <c r="H37" s="529"/>
      <c r="I37" s="529"/>
    </row>
    <row r="38" spans="1:9" ht="15.75">
      <c r="A38" s="147"/>
      <c r="B38" s="147"/>
      <c r="C38" s="147"/>
      <c r="D38" s="147"/>
      <c r="E38" s="529"/>
      <c r="F38" s="529"/>
      <c r="G38" s="529"/>
      <c r="H38" s="529"/>
      <c r="I38" s="529"/>
    </row>
    <row r="39" spans="1:9" ht="15.75">
      <c r="A39" s="147"/>
      <c r="B39" s="147"/>
      <c r="C39" s="147"/>
      <c r="D39" s="147"/>
      <c r="E39" s="529"/>
      <c r="F39" s="529"/>
      <c r="G39" s="529"/>
      <c r="H39" s="529"/>
      <c r="I39" s="529"/>
    </row>
    <row r="40" spans="1:9" ht="15.75">
      <c r="A40" s="147"/>
      <c r="B40" s="147"/>
      <c r="C40" s="147"/>
      <c r="D40" s="147"/>
      <c r="E40" s="529"/>
      <c r="F40" s="529"/>
      <c r="G40" s="529"/>
      <c r="H40" s="529"/>
      <c r="I40" s="529"/>
    </row>
    <row r="41" spans="1:9" ht="15.75">
      <c r="A41" s="147"/>
      <c r="B41" s="147"/>
      <c r="C41" s="147"/>
      <c r="D41" s="147"/>
      <c r="E41" s="529"/>
      <c r="F41" s="529"/>
      <c r="G41" s="529"/>
      <c r="H41" s="529"/>
      <c r="I41" s="529"/>
    </row>
    <row r="42" spans="1:9" ht="15.75">
      <c r="A42" s="147"/>
      <c r="B42" s="147"/>
      <c r="C42" s="147"/>
      <c r="D42" s="147"/>
      <c r="E42" s="529"/>
      <c r="F42" s="529"/>
      <c r="G42" s="529"/>
      <c r="H42" s="529"/>
      <c r="I42" s="529"/>
    </row>
    <row r="43" spans="1:9" ht="15.75">
      <c r="A43" s="147"/>
      <c r="B43" s="147"/>
      <c r="C43" s="147"/>
      <c r="D43" s="147"/>
      <c r="E43" s="529"/>
      <c r="F43" s="529"/>
      <c r="G43" s="529"/>
      <c r="H43" s="529"/>
      <c r="I43" s="529"/>
    </row>
    <row r="44" spans="1:9" ht="15.75">
      <c r="A44" s="147"/>
      <c r="B44" s="147"/>
      <c r="C44" s="147"/>
      <c r="D44" s="147"/>
      <c r="E44" s="529"/>
      <c r="F44" s="529"/>
      <c r="G44" s="529"/>
      <c r="H44" s="529"/>
      <c r="I44" s="529"/>
    </row>
    <row r="45" spans="1:9" ht="15.75">
      <c r="A45" s="147"/>
      <c r="B45" s="147"/>
      <c r="C45" s="147"/>
      <c r="D45" s="147"/>
      <c r="E45" s="529"/>
      <c r="F45" s="529"/>
      <c r="G45" s="529"/>
      <c r="H45" s="529"/>
      <c r="I45" s="529"/>
    </row>
    <row r="46" spans="1:9" ht="16.5" thickBot="1">
      <c r="A46" s="210" t="s">
        <v>368</v>
      </c>
      <c r="B46" s="31"/>
      <c r="C46" s="31"/>
      <c r="D46" s="31"/>
      <c r="E46" s="31"/>
      <c r="F46" s="31"/>
      <c r="G46" s="31"/>
      <c r="H46" s="31"/>
      <c r="I46" s="31"/>
    </row>
    <row r="47" spans="1:9" ht="19.5" thickBot="1">
      <c r="A47" s="816" t="s">
        <v>274</v>
      </c>
      <c r="B47" s="817"/>
      <c r="C47" s="817"/>
      <c r="D47" s="817"/>
      <c r="E47" s="817"/>
      <c r="F47" s="817"/>
      <c r="G47" s="817"/>
      <c r="H47" s="817"/>
      <c r="I47" s="818"/>
    </row>
    <row r="48" spans="1:9" ht="15.75">
      <c r="A48" s="129" t="s">
        <v>275</v>
      </c>
      <c r="B48" s="138" t="s">
        <v>242</v>
      </c>
      <c r="C48" s="138"/>
      <c r="D48" s="138"/>
      <c r="E48" s="138"/>
      <c r="F48" s="138"/>
      <c r="G48" s="141"/>
      <c r="H48" s="130"/>
      <c r="I48" s="31"/>
    </row>
    <row r="49" spans="1:9" ht="15.75">
      <c r="A49" s="523" t="s">
        <v>276</v>
      </c>
      <c r="B49" s="139" t="s">
        <v>242</v>
      </c>
      <c r="C49" s="139"/>
      <c r="D49" s="139"/>
      <c r="E49" s="139"/>
      <c r="F49" s="139"/>
      <c r="G49" s="509"/>
      <c r="H49" s="415"/>
      <c r="I49" s="31"/>
    </row>
    <row r="50" spans="1:9" ht="15.75">
      <c r="A50" s="523" t="s">
        <v>277</v>
      </c>
      <c r="B50" s="139" t="s">
        <v>242</v>
      </c>
      <c r="C50" s="139"/>
      <c r="D50" s="139"/>
      <c r="E50" s="139"/>
      <c r="F50" s="139"/>
      <c r="G50" s="509"/>
      <c r="H50" s="415"/>
      <c r="I50" s="31"/>
    </row>
    <row r="51" spans="1:9" ht="16.5" thickBot="1">
      <c r="A51" s="353" t="s">
        <v>278</v>
      </c>
      <c r="B51" s="140" t="s">
        <v>242</v>
      </c>
      <c r="C51" s="140"/>
      <c r="D51" s="140"/>
      <c r="E51" s="140"/>
      <c r="F51" s="140"/>
      <c r="G51" s="354"/>
      <c r="H51" s="355"/>
      <c r="I51" s="31"/>
    </row>
    <row r="52" spans="1:9" ht="16.5" thickBot="1">
      <c r="A52" s="194"/>
      <c r="B52" s="195"/>
      <c r="C52" s="195"/>
      <c r="D52" s="195"/>
      <c r="E52" s="195"/>
      <c r="F52" s="195"/>
      <c r="G52" s="196"/>
      <c r="H52" s="196"/>
      <c r="I52" s="31"/>
    </row>
    <row r="53" spans="1:9" ht="15.75">
      <c r="A53" s="819"/>
      <c r="B53" s="821" t="s">
        <v>240</v>
      </c>
      <c r="C53" s="621"/>
      <c r="D53" s="458"/>
      <c r="E53" s="458"/>
      <c r="F53" s="458"/>
      <c r="G53" s="823" t="str">
        <f>+G11</f>
        <v>skutečnost 2018</v>
      </c>
      <c r="H53" s="824"/>
      <c r="I53" s="825"/>
    </row>
    <row r="54" spans="1:9" ht="16.5" thickBot="1">
      <c r="A54" s="820"/>
      <c r="B54" s="822"/>
      <c r="C54" s="622"/>
      <c r="D54" s="459"/>
      <c r="E54" s="459"/>
      <c r="F54" s="459"/>
      <c r="G54" s="211" t="str">
        <f>+CONCATENATE("skutečnost ",'[8]titul'!$E$10-1)</f>
        <v>skutečnost 2017</v>
      </c>
      <c r="H54" s="212" t="str">
        <f>+CONCATENATE("skutečnost ",'[8]titul'!$E$10)</f>
        <v>skutečnost 2018</v>
      </c>
      <c r="I54" s="213" t="s">
        <v>39</v>
      </c>
    </row>
    <row r="55" spans="1:9" ht="16.5" thickBot="1">
      <c r="A55" s="813" t="s">
        <v>194</v>
      </c>
      <c r="B55" s="814"/>
      <c r="C55" s="814"/>
      <c r="D55" s="814"/>
      <c r="E55" s="814"/>
      <c r="F55" s="814"/>
      <c r="G55" s="814"/>
      <c r="H55" s="814"/>
      <c r="I55" s="815"/>
    </row>
    <row r="56" spans="1:10" ht="15.75">
      <c r="A56" s="524" t="s">
        <v>237</v>
      </c>
      <c r="B56" s="525" t="s">
        <v>273</v>
      </c>
      <c r="C56" s="676"/>
      <c r="D56" s="507"/>
      <c r="E56" s="507"/>
      <c r="F56" s="507"/>
      <c r="G56" s="510"/>
      <c r="H56" s="416"/>
      <c r="I56" s="525">
        <f aca="true" t="shared" si="1" ref="I56:I69">+H56-G56</f>
        <v>0</v>
      </c>
      <c r="J56" s="142"/>
    </row>
    <row r="57" spans="1:9" ht="15.75">
      <c r="A57" s="288" t="s">
        <v>236</v>
      </c>
      <c r="B57" s="415" t="s">
        <v>273</v>
      </c>
      <c r="C57" s="508"/>
      <c r="D57" s="508"/>
      <c r="E57" s="508"/>
      <c r="F57" s="508"/>
      <c r="G57" s="509"/>
      <c r="H57" s="417"/>
      <c r="I57" s="415">
        <f t="shared" si="1"/>
        <v>0</v>
      </c>
    </row>
    <row r="58" spans="1:9" ht="15.75">
      <c r="A58" s="288" t="s">
        <v>235</v>
      </c>
      <c r="B58" s="415" t="s">
        <v>273</v>
      </c>
      <c r="C58" s="508"/>
      <c r="D58" s="508"/>
      <c r="E58" s="508"/>
      <c r="F58" s="508"/>
      <c r="G58" s="509"/>
      <c r="H58" s="417"/>
      <c r="I58" s="415">
        <f t="shared" si="1"/>
        <v>0</v>
      </c>
    </row>
    <row r="59" spans="1:9" ht="15.75">
      <c r="A59" s="288" t="s">
        <v>234</v>
      </c>
      <c r="B59" s="415" t="s">
        <v>273</v>
      </c>
      <c r="C59" s="508"/>
      <c r="D59" s="508"/>
      <c r="E59" s="508"/>
      <c r="F59" s="508"/>
      <c r="G59" s="509"/>
      <c r="H59" s="417"/>
      <c r="I59" s="415">
        <f t="shared" si="1"/>
        <v>0</v>
      </c>
    </row>
    <row r="60" spans="1:9" ht="15.75">
      <c r="A60" s="288" t="s">
        <v>233</v>
      </c>
      <c r="B60" s="415" t="s">
        <v>273</v>
      </c>
      <c r="C60" s="508"/>
      <c r="D60" s="508"/>
      <c r="E60" s="508"/>
      <c r="F60" s="508"/>
      <c r="G60" s="509"/>
      <c r="H60" s="417"/>
      <c r="I60" s="415">
        <f t="shared" si="1"/>
        <v>0</v>
      </c>
    </row>
    <row r="61" spans="1:9" ht="15.75">
      <c r="A61" s="288" t="s">
        <v>232</v>
      </c>
      <c r="B61" s="415" t="s">
        <v>273</v>
      </c>
      <c r="C61" s="508"/>
      <c r="D61" s="508"/>
      <c r="E61" s="508"/>
      <c r="F61" s="508"/>
      <c r="G61" s="509"/>
      <c r="H61" s="417"/>
      <c r="I61" s="415">
        <f t="shared" si="1"/>
        <v>0</v>
      </c>
    </row>
    <row r="62" spans="1:9" ht="15.75">
      <c r="A62" s="288" t="s">
        <v>231</v>
      </c>
      <c r="B62" s="415" t="s">
        <v>273</v>
      </c>
      <c r="C62" s="508"/>
      <c r="D62" s="508"/>
      <c r="E62" s="508"/>
      <c r="F62" s="508"/>
      <c r="G62" s="509"/>
      <c r="H62" s="417"/>
      <c r="I62" s="415">
        <f t="shared" si="1"/>
        <v>0</v>
      </c>
    </row>
    <row r="63" spans="1:9" ht="15.75">
      <c r="A63" s="288" t="s">
        <v>230</v>
      </c>
      <c r="B63" s="415" t="s">
        <v>273</v>
      </c>
      <c r="C63" s="508"/>
      <c r="D63" s="508"/>
      <c r="E63" s="508"/>
      <c r="F63" s="508"/>
      <c r="G63" s="509"/>
      <c r="H63" s="417"/>
      <c r="I63" s="415">
        <f t="shared" si="1"/>
        <v>0</v>
      </c>
    </row>
    <row r="64" spans="1:9" ht="15.75">
      <c r="A64" s="288" t="s">
        <v>229</v>
      </c>
      <c r="B64" s="415" t="s">
        <v>273</v>
      </c>
      <c r="C64" s="508"/>
      <c r="D64" s="508"/>
      <c r="E64" s="508"/>
      <c r="F64" s="508"/>
      <c r="G64" s="509"/>
      <c r="H64" s="417"/>
      <c r="I64" s="415">
        <f t="shared" si="1"/>
        <v>0</v>
      </c>
    </row>
    <row r="65" spans="1:9" ht="16.5" thickBot="1">
      <c r="A65" s="133" t="s">
        <v>228</v>
      </c>
      <c r="B65" s="126" t="s">
        <v>273</v>
      </c>
      <c r="C65" s="503"/>
      <c r="D65" s="503"/>
      <c r="E65" s="503"/>
      <c r="F65" s="503"/>
      <c r="G65" s="511"/>
      <c r="H65" s="127"/>
      <c r="I65" s="126">
        <f t="shared" si="1"/>
        <v>0</v>
      </c>
    </row>
    <row r="66" spans="1:9" ht="16.5" thickBot="1">
      <c r="A66" s="289" t="s">
        <v>227</v>
      </c>
      <c r="B66" s="128" t="s">
        <v>273</v>
      </c>
      <c r="C66" s="502"/>
      <c r="D66" s="502"/>
      <c r="E66" s="502"/>
      <c r="F66" s="502"/>
      <c r="G66" s="134">
        <f>SUM(G56:G65)</f>
        <v>0</v>
      </c>
      <c r="H66" s="132">
        <f>SUM(H56:H65)</f>
        <v>0</v>
      </c>
      <c r="I66" s="128">
        <f t="shared" si="1"/>
        <v>0</v>
      </c>
    </row>
    <row r="67" spans="1:9" ht="15.75">
      <c r="A67" s="524" t="s">
        <v>226</v>
      </c>
      <c r="B67" s="525" t="s">
        <v>273</v>
      </c>
      <c r="C67" s="676"/>
      <c r="D67" s="507"/>
      <c r="E67" s="507"/>
      <c r="F67" s="507"/>
      <c r="G67" s="510"/>
      <c r="H67" s="416"/>
      <c r="I67" s="525">
        <f t="shared" si="1"/>
        <v>0</v>
      </c>
    </row>
    <row r="68" spans="1:9" ht="16.5" thickBot="1">
      <c r="A68" s="133" t="s">
        <v>225</v>
      </c>
      <c r="B68" s="126" t="s">
        <v>273</v>
      </c>
      <c r="C68" s="503"/>
      <c r="D68" s="503"/>
      <c r="E68" s="503"/>
      <c r="F68" s="503"/>
      <c r="G68" s="511"/>
      <c r="H68" s="127"/>
      <c r="I68" s="126">
        <f t="shared" si="1"/>
        <v>0</v>
      </c>
    </row>
    <row r="69" spans="1:9" ht="16.5" thickBot="1">
      <c r="A69" s="289" t="s">
        <v>224</v>
      </c>
      <c r="B69" s="128" t="s">
        <v>273</v>
      </c>
      <c r="C69" s="502"/>
      <c r="D69" s="502"/>
      <c r="E69" s="502"/>
      <c r="F69" s="502"/>
      <c r="G69" s="134">
        <f>SUM(G66:G68)</f>
        <v>0</v>
      </c>
      <c r="H69" s="132">
        <f>SUM(H66:H68)</f>
        <v>0</v>
      </c>
      <c r="I69" s="128">
        <f t="shared" si="1"/>
        <v>0</v>
      </c>
    </row>
    <row r="70" spans="1:9" ht="16.5" thickBot="1">
      <c r="A70" s="813" t="s">
        <v>195</v>
      </c>
      <c r="B70" s="814"/>
      <c r="C70" s="814"/>
      <c r="D70" s="814"/>
      <c r="E70" s="814"/>
      <c r="F70" s="814"/>
      <c r="G70" s="814"/>
      <c r="H70" s="814"/>
      <c r="I70" s="815"/>
    </row>
    <row r="71" spans="1:9" ht="16.5" thickBot="1">
      <c r="A71" s="145" t="s">
        <v>247</v>
      </c>
      <c r="B71" s="204" t="s">
        <v>241</v>
      </c>
      <c r="C71" s="204"/>
      <c r="D71" s="204"/>
      <c r="E71" s="204"/>
      <c r="F71" s="204"/>
      <c r="G71" s="205"/>
      <c r="H71" s="146"/>
      <c r="I71" s="135">
        <f>+H71-G71</f>
        <v>0</v>
      </c>
    </row>
    <row r="72" spans="1:9" ht="16.5" thickBot="1">
      <c r="A72" s="147"/>
      <c r="B72" s="147"/>
      <c r="C72" s="147"/>
      <c r="D72" s="147"/>
      <c r="E72" s="147"/>
      <c r="F72" s="147"/>
      <c r="G72" s="148"/>
      <c r="H72" s="148"/>
      <c r="I72" s="197"/>
    </row>
    <row r="73" spans="1:9" ht="15.75">
      <c r="A73" s="131" t="s">
        <v>223</v>
      </c>
      <c r="B73" s="198" t="s">
        <v>239</v>
      </c>
      <c r="C73" s="504"/>
      <c r="D73" s="504"/>
      <c r="E73" s="504"/>
      <c r="F73" s="504"/>
      <c r="G73" s="201">
        <f>IF(G49=0,0,(G66/G49))</f>
        <v>0</v>
      </c>
      <c r="H73" s="137">
        <f>IF(H49=0,0,(H66/H49))</f>
        <v>0</v>
      </c>
      <c r="I73" s="150">
        <f>+H73-G73</f>
        <v>0</v>
      </c>
    </row>
    <row r="74" spans="1:9" ht="15.75">
      <c r="A74" s="514" t="s">
        <v>222</v>
      </c>
      <c r="B74" s="199" t="s">
        <v>239</v>
      </c>
      <c r="C74" s="505"/>
      <c r="D74" s="505"/>
      <c r="E74" s="505"/>
      <c r="F74" s="505"/>
      <c r="G74" s="512">
        <f>IF(G50=0,0,(G69/G50))</f>
        <v>0</v>
      </c>
      <c r="H74" s="515">
        <f>IF(H50=0,0,(H69/H50))</f>
        <v>0</v>
      </c>
      <c r="I74" s="517">
        <f>+H74-G74</f>
        <v>0</v>
      </c>
    </row>
    <row r="75" spans="1:9" ht="16.5" thickBot="1">
      <c r="A75" s="361" t="s">
        <v>221</v>
      </c>
      <c r="B75" s="200" t="s">
        <v>239</v>
      </c>
      <c r="C75" s="506"/>
      <c r="D75" s="506"/>
      <c r="E75" s="506"/>
      <c r="F75" s="506"/>
      <c r="G75" s="362">
        <f>IF(G50=0,0,(G71/G73))</f>
        <v>0</v>
      </c>
      <c r="H75" s="363">
        <f>IF(H50=0,0,(H71/H73))</f>
        <v>0</v>
      </c>
      <c r="I75" s="364">
        <f>IF(I50=0,0,(I71/I73))</f>
        <v>0</v>
      </c>
    </row>
    <row r="76" spans="1:9" ht="16.5" thickBot="1">
      <c r="A76" s="136" t="s">
        <v>238</v>
      </c>
      <c r="B76" s="206" t="s">
        <v>239</v>
      </c>
      <c r="C76" s="206"/>
      <c r="D76" s="206"/>
      <c r="E76" s="206"/>
      <c r="F76" s="206"/>
      <c r="G76" s="207">
        <f>+G75-G74</f>
        <v>0</v>
      </c>
      <c r="H76" s="202">
        <f>+H75-H74</f>
        <v>0</v>
      </c>
      <c r="I76" s="203">
        <f>+H76-G76</f>
        <v>0</v>
      </c>
    </row>
    <row r="77" spans="1:9" s="149" customFormat="1" ht="12" customHeight="1" thickBot="1">
      <c r="A77" s="526" t="s">
        <v>532</v>
      </c>
      <c r="B77" s="3"/>
      <c r="C77" s="3"/>
      <c r="D77" s="3"/>
      <c r="E77" s="527">
        <f>+E29-E27</f>
        <v>69783635</v>
      </c>
      <c r="F77" s="527">
        <f>+F29-F27</f>
        <v>58348578</v>
      </c>
      <c r="G77" s="527">
        <f>+G29-G27</f>
        <v>25308651</v>
      </c>
      <c r="H77" s="527">
        <f>+H29-H27</f>
        <v>-33039927</v>
      </c>
      <c r="I77" s="528">
        <f>+H77-G77</f>
        <v>-58348578</v>
      </c>
    </row>
    <row r="78" spans="1:8" ht="16.5" thickBot="1">
      <c r="A78" s="813" t="s">
        <v>195</v>
      </c>
      <c r="B78" s="814"/>
      <c r="C78" s="814"/>
      <c r="D78" s="814"/>
      <c r="E78" s="814"/>
      <c r="F78" s="814"/>
      <c r="G78" s="814"/>
      <c r="H78" s="815"/>
    </row>
    <row r="79" spans="1:8" ht="16.5" thickBot="1">
      <c r="A79" s="145" t="s">
        <v>247</v>
      </c>
      <c r="B79" s="204" t="s">
        <v>241</v>
      </c>
      <c r="C79" s="204"/>
      <c r="D79" s="204"/>
      <c r="E79" s="204"/>
      <c r="F79" s="205"/>
      <c r="G79" s="146"/>
      <c r="H79" s="135">
        <f>+G79-F79</f>
        <v>0</v>
      </c>
    </row>
    <row r="80" spans="1:8" ht="16.5" thickBot="1">
      <c r="A80" s="147"/>
      <c r="B80" s="147"/>
      <c r="C80" s="147"/>
      <c r="D80" s="147"/>
      <c r="E80" s="147"/>
      <c r="F80" s="148"/>
      <c r="G80" s="148"/>
      <c r="H80" s="197"/>
    </row>
    <row r="81" spans="1:8" ht="15.75">
      <c r="A81" s="131" t="s">
        <v>223</v>
      </c>
      <c r="B81" s="198" t="s">
        <v>239</v>
      </c>
      <c r="C81" s="504"/>
      <c r="D81" s="504"/>
      <c r="E81" s="504"/>
      <c r="F81" s="201">
        <f>IF(F57=0,0,(F74/F57))</f>
        <v>0</v>
      </c>
      <c r="G81" s="137">
        <f>IF(G57=0,0,(G74/G57))</f>
        <v>0</v>
      </c>
      <c r="H81" s="150">
        <f>+G81-F81</f>
        <v>0</v>
      </c>
    </row>
    <row r="82" spans="1:8" ht="15.75">
      <c r="A82" s="359" t="s">
        <v>222</v>
      </c>
      <c r="B82" s="199" t="s">
        <v>239</v>
      </c>
      <c r="C82" s="505"/>
      <c r="D82" s="505"/>
      <c r="E82" s="505"/>
      <c r="F82" s="360">
        <f>IF(F58=0,0,(F77/F58))</f>
        <v>0</v>
      </c>
      <c r="G82" s="290">
        <f>IF(G58=0,0,(G77/G58))</f>
        <v>0</v>
      </c>
      <c r="H82" s="291">
        <f>+G82-F82</f>
        <v>0</v>
      </c>
    </row>
    <row r="83" spans="1:8" ht="16.5" thickBot="1">
      <c r="A83" s="361" t="s">
        <v>221</v>
      </c>
      <c r="B83" s="200" t="s">
        <v>239</v>
      </c>
      <c r="C83" s="506"/>
      <c r="D83" s="506"/>
      <c r="E83" s="506"/>
      <c r="F83" s="362">
        <f>IF(F58=0,0,(F79/F81))</f>
        <v>0</v>
      </c>
      <c r="G83" s="363">
        <f>IF(G58=0,0,(G79/G81))</f>
        <v>0</v>
      </c>
      <c r="H83" s="364">
        <f>IF(H58=0,0,(H79/H81))</f>
        <v>0</v>
      </c>
    </row>
    <row r="84" spans="1:8" ht="16.5" thickBot="1">
      <c r="A84" s="136" t="s">
        <v>238</v>
      </c>
      <c r="B84" s="206" t="s">
        <v>239</v>
      </c>
      <c r="C84" s="206"/>
      <c r="D84" s="206"/>
      <c r="E84" s="206"/>
      <c r="F84" s="207">
        <f>+F83-F82</f>
        <v>0</v>
      </c>
      <c r="G84" s="202">
        <f>+G83-G82</f>
        <v>0</v>
      </c>
      <c r="H84" s="203">
        <f>+G84-F84</f>
        <v>0</v>
      </c>
    </row>
  </sheetData>
  <sheetProtection/>
  <mergeCells count="26">
    <mergeCell ref="C11:C12"/>
    <mergeCell ref="A11:A12"/>
    <mergeCell ref="B11:B12"/>
    <mergeCell ref="F11:F12"/>
    <mergeCell ref="H11:H12"/>
    <mergeCell ref="E11:E12"/>
    <mergeCell ref="G11:G12"/>
    <mergeCell ref="D11:D12"/>
    <mergeCell ref="A2:H2"/>
    <mergeCell ref="A4:A5"/>
    <mergeCell ref="B4:B5"/>
    <mergeCell ref="F4:F5"/>
    <mergeCell ref="H4:H5"/>
    <mergeCell ref="E4:E5"/>
    <mergeCell ref="G4:G5"/>
    <mergeCell ref="D4:D5"/>
    <mergeCell ref="C4:C5"/>
    <mergeCell ref="A78:H78"/>
    <mergeCell ref="A13:H13"/>
    <mergeCell ref="A28:H28"/>
    <mergeCell ref="A47:I47"/>
    <mergeCell ref="A53:A54"/>
    <mergeCell ref="B53:B54"/>
    <mergeCell ref="G53:I53"/>
    <mergeCell ref="A55:I55"/>
    <mergeCell ref="A70:I70"/>
  </mergeCells>
  <printOptions/>
  <pageMargins left="0.7086614173228347" right="0.7086614173228347" top="0.7874015748031497" bottom="0.7874015748031497" header="0.31496062992125984" footer="0.31496062992125984"/>
  <pageSetup fitToHeight="0" fitToWidth="1" horizontalDpi="1800" verticalDpi="18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16"/>
  <sheetViews>
    <sheetView zoomScalePageLayoutView="0"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96" sqref="L96"/>
    </sheetView>
  </sheetViews>
  <sheetFormatPr defaultColWidth="9.140625" defaultRowHeight="15"/>
  <cols>
    <col min="1" max="1" width="4.140625" style="3" customWidth="1"/>
    <col min="2" max="2" width="54.57421875" style="87" customWidth="1"/>
    <col min="3" max="3" width="5.140625" style="3" customWidth="1"/>
    <col min="4" max="4" width="16.140625" style="3" customWidth="1"/>
    <col min="5" max="7" width="15.28125" style="3" customWidth="1"/>
    <col min="8" max="8" width="16.7109375" style="3" customWidth="1"/>
    <col min="9" max="9" width="18.7109375" style="3" customWidth="1"/>
    <col min="10" max="10" width="19.57421875" style="3" customWidth="1"/>
    <col min="11" max="11" width="14.57421875" style="3" customWidth="1"/>
    <col min="12" max="12" width="18.28125" style="3" customWidth="1"/>
    <col min="13" max="13" width="18.7109375" style="3" customWidth="1"/>
    <col min="14" max="16384" width="9.140625" style="10" customWidth="1"/>
  </cols>
  <sheetData>
    <row r="1" ht="16.5" thickBot="1">
      <c r="A1" s="209" t="s">
        <v>326</v>
      </c>
    </row>
    <row r="2" spans="1:13" ht="21" thickBot="1">
      <c r="A2" s="770" t="s">
        <v>297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2"/>
    </row>
    <row r="3" spans="1:9" ht="16.5" thickBot="1">
      <c r="A3" s="30"/>
      <c r="B3" s="75"/>
      <c r="C3" s="30"/>
      <c r="D3" s="30"/>
      <c r="E3" s="30"/>
      <c r="F3" s="30"/>
      <c r="G3" s="30"/>
      <c r="H3" s="30"/>
      <c r="I3" s="30"/>
    </row>
    <row r="4" spans="1:13" ht="15.75" thickBot="1">
      <c r="A4" s="773" t="s">
        <v>175</v>
      </c>
      <c r="B4" s="762" t="s">
        <v>0</v>
      </c>
      <c r="C4" s="850"/>
      <c r="D4" s="862" t="s">
        <v>526</v>
      </c>
      <c r="E4" s="840" t="str">
        <f>+'[6]Přehled o rozpočtu_HČ'!D5</f>
        <v>skutečnost 2015</v>
      </c>
      <c r="F4" s="840" t="s">
        <v>529</v>
      </c>
      <c r="G4" s="853" t="s">
        <v>411</v>
      </c>
      <c r="H4" s="856" t="s">
        <v>530</v>
      </c>
      <c r="I4" s="856"/>
      <c r="J4" s="856"/>
      <c r="K4" s="856"/>
      <c r="L4" s="856"/>
      <c r="M4" s="857"/>
    </row>
    <row r="5" spans="1:13" s="99" customFormat="1" ht="15.75" customHeight="1">
      <c r="A5" s="847"/>
      <c r="B5" s="849"/>
      <c r="C5" s="851"/>
      <c r="D5" s="863"/>
      <c r="E5" s="841"/>
      <c r="F5" s="841"/>
      <c r="G5" s="854"/>
      <c r="H5" s="858" t="s">
        <v>612</v>
      </c>
      <c r="I5" s="860" t="s">
        <v>272</v>
      </c>
      <c r="J5" s="860" t="s">
        <v>271</v>
      </c>
      <c r="K5" s="843" t="s">
        <v>171</v>
      </c>
      <c r="L5" s="843" t="s">
        <v>172</v>
      </c>
      <c r="M5" s="845" t="s">
        <v>414</v>
      </c>
    </row>
    <row r="6" spans="1:13" s="99" customFormat="1" ht="16.5" thickBot="1">
      <c r="A6" s="848"/>
      <c r="B6" s="844"/>
      <c r="C6" s="852"/>
      <c r="D6" s="864"/>
      <c r="E6" s="842"/>
      <c r="F6" s="842"/>
      <c r="G6" s="855"/>
      <c r="H6" s="859"/>
      <c r="I6" s="861"/>
      <c r="J6" s="861"/>
      <c r="K6" s="844"/>
      <c r="L6" s="844"/>
      <c r="M6" s="846"/>
    </row>
    <row r="7" spans="1:13" s="100" customFormat="1" ht="16.5" thickBot="1">
      <c r="A7" s="108">
        <v>1</v>
      </c>
      <c r="B7" s="109" t="s">
        <v>250</v>
      </c>
      <c r="C7" s="110" t="s">
        <v>40</v>
      </c>
      <c r="D7" s="633">
        <f>'Přehled o rozpočtu_HČ'!D7</f>
        <v>343637512.63</v>
      </c>
      <c r="E7" s="634">
        <f>'[6]Přehled o rozpočtu_HČ'!D7</f>
        <v>360652642</v>
      </c>
      <c r="F7" s="636">
        <f>'Přehled o rozpočtu_HČ'!H7</f>
        <v>380217081.28000003</v>
      </c>
      <c r="G7" s="635">
        <f>'Přehled o rozpočtu_HČ'!K7</f>
        <v>342146123</v>
      </c>
      <c r="H7" s="169">
        <f>'Přehled o rozpočtu_HČ'!N7</f>
        <v>344877744</v>
      </c>
      <c r="I7" s="74">
        <f>I8+I44+I50+I53</f>
        <v>308398654</v>
      </c>
      <c r="J7" s="74">
        <f>J8+J44+J50+J53</f>
        <v>312791647</v>
      </c>
      <c r="K7" s="365">
        <f>+IF(J7=0,"",H7/J7)</f>
        <v>1.102579775731671</v>
      </c>
      <c r="L7" s="115">
        <f>L8+L44+L50+L53</f>
        <v>323014026</v>
      </c>
      <c r="M7" s="116">
        <f>+L7-J7</f>
        <v>10222379</v>
      </c>
    </row>
    <row r="8" spans="1:13" s="100" customFormat="1" ht="15.75">
      <c r="A8" s="697">
        <v>2</v>
      </c>
      <c r="B8" s="698" t="s">
        <v>249</v>
      </c>
      <c r="C8" s="699"/>
      <c r="D8" s="369">
        <f>'Přehled o rozpočtu_HČ'!D8</f>
        <v>331806861.28</v>
      </c>
      <c r="E8" s="700">
        <f>+'[6]Přehled o rozpočtu_HČ'!D8</f>
        <v>350329718</v>
      </c>
      <c r="F8" s="700">
        <f>'Přehled o rozpočtu_HČ'!H8</f>
        <v>373045136.27000004</v>
      </c>
      <c r="G8" s="701">
        <f>'Přehled o rozpočtu_HČ'!K8</f>
        <v>334183041</v>
      </c>
      <c r="H8" s="369">
        <f>'Přehled o rozpočtu_HČ'!N8</f>
        <v>340852172</v>
      </c>
      <c r="I8" s="370">
        <f>SUM(I9:I43)</f>
        <v>300398654</v>
      </c>
      <c r="J8" s="370">
        <f>SUM(J9:J43)</f>
        <v>304791647</v>
      </c>
      <c r="K8" s="702">
        <f>+IF(J8=0,"",H8/J8)</f>
        <v>1.118312051379807</v>
      </c>
      <c r="L8" s="370">
        <f>SUM(L9:L43)</f>
        <v>316904026</v>
      </c>
      <c r="M8" s="703">
        <f>+L8-J8</f>
        <v>12112379</v>
      </c>
    </row>
    <row r="9" spans="1:13" ht="15">
      <c r="A9" s="704">
        <v>3</v>
      </c>
      <c r="B9" s="705" t="s">
        <v>41</v>
      </c>
      <c r="C9" s="55" t="s">
        <v>42</v>
      </c>
      <c r="D9" s="461">
        <f>'Přehled o rozpočtu_HČ'!D9</f>
        <v>12275050.66</v>
      </c>
      <c r="E9" s="499">
        <f>'[6]Přehled o rozpočtu_HČ'!D9</f>
        <v>17469510</v>
      </c>
      <c r="F9" s="499">
        <f>'Přehled o rozpočtu_HČ'!H9</f>
        <v>15717404.48</v>
      </c>
      <c r="G9" s="176">
        <f>'Přehled o rozpočtu_HČ'!K9</f>
        <v>15821256</v>
      </c>
      <c r="H9" s="170">
        <f>'Přehled o rozpočtu_HČ'!N9</f>
        <v>15863756</v>
      </c>
      <c r="I9" s="171">
        <v>12454000</v>
      </c>
      <c r="J9" s="462">
        <v>12454000</v>
      </c>
      <c r="K9" s="706">
        <f aca="true" t="shared" si="0" ref="K9:K72">+IF(J9=0,"",H9/J9)</f>
        <v>1.273788019913281</v>
      </c>
      <c r="L9" s="462">
        <v>14880000</v>
      </c>
      <c r="M9" s="476">
        <f>+L9-J9</f>
        <v>2426000</v>
      </c>
    </row>
    <row r="10" spans="1:13" ht="15">
      <c r="A10" s="704">
        <v>4</v>
      </c>
      <c r="B10" s="705" t="s">
        <v>43</v>
      </c>
      <c r="C10" s="55" t="s">
        <v>44</v>
      </c>
      <c r="D10" s="461">
        <f>'Přehled o rozpočtu_HČ'!D10</f>
        <v>5435747.71</v>
      </c>
      <c r="E10" s="499">
        <f>'[6]Přehled o rozpočtu_HČ'!D10</f>
        <v>5294483</v>
      </c>
      <c r="F10" s="499">
        <f>'Přehled o rozpočtu_HČ'!H10</f>
        <v>6122743.42</v>
      </c>
      <c r="G10" s="176">
        <f>'Přehled o rozpočtu_HČ'!K10</f>
        <v>5180104</v>
      </c>
      <c r="H10" s="170">
        <f>'Přehled o rozpočtu_HČ'!N10</f>
        <v>4872259</v>
      </c>
      <c r="I10" s="171">
        <v>6104000</v>
      </c>
      <c r="J10" s="171">
        <v>6104000</v>
      </c>
      <c r="K10" s="706">
        <f t="shared" si="0"/>
        <v>0.7982075688073395</v>
      </c>
      <c r="L10" s="462">
        <v>6104000</v>
      </c>
      <c r="M10" s="476">
        <f aca="true" t="shared" si="1" ref="M10:M73">+L10-J10</f>
        <v>0</v>
      </c>
    </row>
    <row r="11" spans="1:13" ht="15">
      <c r="A11" s="704">
        <v>5</v>
      </c>
      <c r="B11" s="705" t="s">
        <v>45</v>
      </c>
      <c r="C11" s="55" t="s">
        <v>46</v>
      </c>
      <c r="D11" s="461">
        <f>'Přehled o rozpočtu_HČ'!D11</f>
        <v>0</v>
      </c>
      <c r="E11" s="499">
        <f>'[6]Přehled o rozpočtu_HČ'!D11</f>
        <v>0</v>
      </c>
      <c r="F11" s="499">
        <f>'Přehled o rozpočtu_HČ'!H11</f>
        <v>0</v>
      </c>
      <c r="G11" s="176">
        <f>'Přehled o rozpočtu_HČ'!K11</f>
        <v>0</v>
      </c>
      <c r="H11" s="170">
        <f>'Přehled o rozpočtu_HČ'!N11</f>
        <v>0</v>
      </c>
      <c r="I11" s="171">
        <v>0</v>
      </c>
      <c r="J11" s="171">
        <v>0</v>
      </c>
      <c r="K11" s="706">
        <f>+IF(J11=0,"",H11/J11)</f>
      </c>
      <c r="L11" s="462"/>
      <c r="M11" s="476">
        <f>+L11-J11</f>
        <v>0</v>
      </c>
    </row>
    <row r="12" spans="1:13" ht="15">
      <c r="A12" s="704">
        <v>6</v>
      </c>
      <c r="B12" s="705" t="s">
        <v>47</v>
      </c>
      <c r="C12" s="55" t="s">
        <v>48</v>
      </c>
      <c r="D12" s="461">
        <f>'Přehled o rozpočtu_HČ'!D12</f>
        <v>2602540.08</v>
      </c>
      <c r="E12" s="499">
        <f>'[6]Přehled o rozpočtu_HČ'!D12</f>
        <v>2256675</v>
      </c>
      <c r="F12" s="499">
        <f>'Přehled o rozpočtu_HČ'!H12</f>
        <v>2602044.96</v>
      </c>
      <c r="G12" s="176">
        <f>'Přehled o rozpočtu_HČ'!K12</f>
        <v>2662911</v>
      </c>
      <c r="H12" s="170">
        <f>'Přehled o rozpočtu_HČ'!N12</f>
        <v>2321969</v>
      </c>
      <c r="I12" s="171">
        <v>2444000</v>
      </c>
      <c r="J12" s="171">
        <v>2444000</v>
      </c>
      <c r="K12" s="706">
        <f t="shared" si="0"/>
        <v>0.9500691489361702</v>
      </c>
      <c r="L12" s="462">
        <v>2400000</v>
      </c>
      <c r="M12" s="476">
        <f t="shared" si="1"/>
        <v>-44000</v>
      </c>
    </row>
    <row r="13" spans="1:13" ht="15">
      <c r="A13" s="704">
        <v>7</v>
      </c>
      <c r="B13" s="705" t="s">
        <v>49</v>
      </c>
      <c r="C13" s="55" t="s">
        <v>50</v>
      </c>
      <c r="D13" s="461">
        <f>'Přehled o rozpočtu_HČ'!D13</f>
        <v>0</v>
      </c>
      <c r="E13" s="499">
        <f>'[6]Přehled o rozpočtu_HČ'!D13</f>
        <v>0</v>
      </c>
      <c r="F13" s="499">
        <f>'Přehled o rozpočtu_HČ'!H13</f>
        <v>0</v>
      </c>
      <c r="G13" s="176">
        <f>'Přehled o rozpočtu_HČ'!K13</f>
        <v>0</v>
      </c>
      <c r="H13" s="170">
        <f>'Přehled o rozpočtu_HČ'!N13</f>
        <v>-389498</v>
      </c>
      <c r="I13" s="171">
        <v>0</v>
      </c>
      <c r="J13" s="171">
        <v>0</v>
      </c>
      <c r="K13" s="706">
        <f t="shared" si="0"/>
      </c>
      <c r="L13" s="462">
        <v>-400000</v>
      </c>
      <c r="M13" s="476">
        <f t="shared" si="1"/>
        <v>-400000</v>
      </c>
    </row>
    <row r="14" spans="1:13" ht="15">
      <c r="A14" s="704">
        <v>8</v>
      </c>
      <c r="B14" s="705" t="s">
        <v>51</v>
      </c>
      <c r="C14" s="55" t="s">
        <v>52</v>
      </c>
      <c r="D14" s="461">
        <f>'Přehled o rozpočtu_HČ'!D14</f>
        <v>-344642.39</v>
      </c>
      <c r="E14" s="499">
        <f>'[6]Přehled o rozpočtu_HČ'!D14</f>
        <v>-169729</v>
      </c>
      <c r="F14" s="499">
        <f>'Přehled o rozpočtu_HČ'!H14</f>
        <v>-514085.2</v>
      </c>
      <c r="G14" s="176">
        <f>'Přehled o rozpočtu_HČ'!K14</f>
        <v>-343293</v>
      </c>
      <c r="H14" s="170">
        <f>'Přehled o rozpočtu_HČ'!N14</f>
        <v>-117869</v>
      </c>
      <c r="I14" s="171">
        <v>-400000</v>
      </c>
      <c r="J14" s="171">
        <v>-400000</v>
      </c>
      <c r="K14" s="706">
        <f t="shared" si="0"/>
        <v>0.2946725</v>
      </c>
      <c r="L14" s="462">
        <v>-200000</v>
      </c>
      <c r="M14" s="476">
        <f t="shared" si="1"/>
        <v>200000</v>
      </c>
    </row>
    <row r="15" spans="1:13" ht="15">
      <c r="A15" s="704">
        <v>9</v>
      </c>
      <c r="B15" s="705" t="s">
        <v>53</v>
      </c>
      <c r="C15" s="55" t="s">
        <v>54</v>
      </c>
      <c r="D15" s="461">
        <f>'Přehled o rozpočtu_HČ'!D15</f>
        <v>-736371.56</v>
      </c>
      <c r="E15" s="499">
        <f>'[6]Přehled o rozpočtu_HČ'!D15</f>
        <v>-2203373</v>
      </c>
      <c r="F15" s="499">
        <f>'Přehled o rozpočtu_HČ'!H15</f>
        <v>3383275.52</v>
      </c>
      <c r="G15" s="176">
        <f>'Přehled o rozpočtu_HČ'!K15</f>
        <v>-4361088</v>
      </c>
      <c r="H15" s="170">
        <f>'Přehled o rozpočtu_HČ'!N15</f>
        <v>1559165</v>
      </c>
      <c r="I15" s="171">
        <v>-400000</v>
      </c>
      <c r="J15" s="171">
        <v>-400000</v>
      </c>
      <c r="K15" s="706">
        <f t="shared" si="0"/>
        <v>-3.8979125</v>
      </c>
      <c r="L15" s="462">
        <v>-400000</v>
      </c>
      <c r="M15" s="476">
        <f t="shared" si="1"/>
        <v>0</v>
      </c>
    </row>
    <row r="16" spans="1:13" ht="15">
      <c r="A16" s="704">
        <v>10</v>
      </c>
      <c r="B16" s="705" t="s">
        <v>55</v>
      </c>
      <c r="C16" s="55" t="s">
        <v>56</v>
      </c>
      <c r="D16" s="461">
        <f>'Přehled o rozpočtu_HČ'!D16</f>
        <v>20199940.9</v>
      </c>
      <c r="E16" s="499">
        <f>'[6]Přehled o rozpočtu_HČ'!D16</f>
        <v>17962535</v>
      </c>
      <c r="F16" s="499">
        <f>'Přehled o rozpočtu_HČ'!H16</f>
        <v>46505291.23</v>
      </c>
      <c r="G16" s="176">
        <f>'Přehled o rozpočtu_HČ'!K16</f>
        <v>30420966</v>
      </c>
      <c r="H16" s="170">
        <f>'Přehled o rozpočtu_HČ'!N16</f>
        <v>12233394</v>
      </c>
      <c r="I16" s="171">
        <v>20000000</v>
      </c>
      <c r="J16" s="171">
        <v>20000000</v>
      </c>
      <c r="K16" s="706">
        <f t="shared" si="0"/>
        <v>0.6116697</v>
      </c>
      <c r="L16" s="462">
        <v>10000000</v>
      </c>
      <c r="M16" s="476">
        <f t="shared" si="1"/>
        <v>-10000000</v>
      </c>
    </row>
    <row r="17" spans="1:13" ht="15">
      <c r="A17" s="704">
        <v>11</v>
      </c>
      <c r="B17" s="705" t="s">
        <v>57</v>
      </c>
      <c r="C17" s="55" t="s">
        <v>58</v>
      </c>
      <c r="D17" s="461">
        <f>'Přehled o rozpočtu_HČ'!D17</f>
        <v>3655501.22</v>
      </c>
      <c r="E17" s="499">
        <f>'[6]Přehled o rozpočtu_HČ'!D17</f>
        <v>3519694</v>
      </c>
      <c r="F17" s="499">
        <f>'Přehled o rozpočtu_HČ'!H17</f>
        <v>4071473.46</v>
      </c>
      <c r="G17" s="176">
        <f>'Přehled o rozpočtu_HČ'!K17</f>
        <v>4264758</v>
      </c>
      <c r="H17" s="170">
        <f>'Přehled o rozpočtu_HČ'!N17</f>
        <v>2839855</v>
      </c>
      <c r="I17" s="171">
        <v>2275000</v>
      </c>
      <c r="J17" s="171">
        <v>2275000</v>
      </c>
      <c r="K17" s="706">
        <f t="shared" si="0"/>
        <v>1.248287912087912</v>
      </c>
      <c r="L17" s="462">
        <v>2550000</v>
      </c>
      <c r="M17" s="476">
        <f t="shared" si="1"/>
        <v>275000</v>
      </c>
    </row>
    <row r="18" spans="1:13" ht="15">
      <c r="A18" s="704">
        <v>12</v>
      </c>
      <c r="B18" s="705" t="s">
        <v>59</v>
      </c>
      <c r="C18" s="55" t="s">
        <v>60</v>
      </c>
      <c r="D18" s="461">
        <f>'Přehled o rozpočtu_HČ'!D18</f>
        <v>291854.65</v>
      </c>
      <c r="E18" s="499">
        <f>'[6]Přehled o rozpočtu_HČ'!D18</f>
        <v>305113</v>
      </c>
      <c r="F18" s="499">
        <f>'Přehled o rozpočtu_HČ'!H18</f>
        <v>253407.4</v>
      </c>
      <c r="G18" s="176">
        <f>'Přehled o rozpočtu_HČ'!K18</f>
        <v>420859</v>
      </c>
      <c r="H18" s="170">
        <f>'Přehled o rozpočtu_HČ'!N18</f>
        <v>819960</v>
      </c>
      <c r="I18" s="171">
        <v>300000</v>
      </c>
      <c r="J18" s="171">
        <v>300000</v>
      </c>
      <c r="K18" s="706">
        <f t="shared" si="0"/>
        <v>2.7332</v>
      </c>
      <c r="L18" s="462">
        <v>700000</v>
      </c>
      <c r="M18" s="476">
        <f t="shared" si="1"/>
        <v>400000</v>
      </c>
    </row>
    <row r="19" spans="1:13" ht="15">
      <c r="A19" s="704">
        <v>13</v>
      </c>
      <c r="B19" s="705" t="s">
        <v>61</v>
      </c>
      <c r="C19" s="55" t="s">
        <v>62</v>
      </c>
      <c r="D19" s="461">
        <f>'Přehled o rozpočtu_HČ'!D19</f>
        <v>-1155.4</v>
      </c>
      <c r="E19" s="499">
        <f>'[6]Přehled o rozpočtu_HČ'!D19</f>
        <v>0</v>
      </c>
      <c r="F19" s="499">
        <f>'Přehled o rozpočtu_HČ'!H19</f>
        <v>0</v>
      </c>
      <c r="G19" s="176">
        <f>'Přehled o rozpočtu_HČ'!K19</f>
        <v>0</v>
      </c>
      <c r="H19" s="170">
        <f>'Přehled o rozpočtu_HČ'!N19</f>
        <v>0</v>
      </c>
      <c r="I19" s="171">
        <v>0</v>
      </c>
      <c r="J19" s="171">
        <v>0</v>
      </c>
      <c r="K19" s="706">
        <f t="shared" si="0"/>
      </c>
      <c r="L19" s="462"/>
      <c r="M19" s="476">
        <f t="shared" si="1"/>
        <v>0</v>
      </c>
    </row>
    <row r="20" spans="1:13" ht="15">
      <c r="A20" s="704">
        <v>14</v>
      </c>
      <c r="B20" s="705" t="s">
        <v>63</v>
      </c>
      <c r="C20" s="55" t="s">
        <v>64</v>
      </c>
      <c r="D20" s="461">
        <f>'Přehled o rozpočtu_HČ'!D20</f>
        <v>110523891.52</v>
      </c>
      <c r="E20" s="499">
        <f>'[6]Přehled o rozpočtu_HČ'!D20</f>
        <v>105222761</v>
      </c>
      <c r="F20" s="499">
        <f>'Přehled o rozpočtu_HČ'!H20</f>
        <v>115063277.95</v>
      </c>
      <c r="G20" s="176">
        <f>'Přehled o rozpočtu_HČ'!K20</f>
        <v>110639703</v>
      </c>
      <c r="H20" s="170">
        <f>'Přehled o rozpočtu_HČ'!N20</f>
        <v>119042148</v>
      </c>
      <c r="I20" s="171">
        <v>91389000</v>
      </c>
      <c r="J20" s="171">
        <v>95781993</v>
      </c>
      <c r="K20" s="706">
        <f t="shared" si="0"/>
        <v>1.2428447589308358</v>
      </c>
      <c r="L20" s="462">
        <v>108000000</v>
      </c>
      <c r="M20" s="476">
        <f t="shared" si="1"/>
        <v>12218007</v>
      </c>
    </row>
    <row r="21" spans="1:13" ht="15">
      <c r="A21" s="704">
        <v>15</v>
      </c>
      <c r="B21" s="705" t="s">
        <v>65</v>
      </c>
      <c r="C21" s="55" t="s">
        <v>66</v>
      </c>
      <c r="D21" s="461">
        <f>'Přehled o rozpočtu_HČ'!D21</f>
        <v>76742228</v>
      </c>
      <c r="E21" s="499">
        <f>'[6]Přehled o rozpočtu_HČ'!D21</f>
        <v>83888397</v>
      </c>
      <c r="F21" s="499">
        <f>'Přehled o rozpočtu_HČ'!H21</f>
        <v>82383605</v>
      </c>
      <c r="G21" s="176">
        <f>'Přehled o rozpočtu_HČ'!K21</f>
        <v>85906162</v>
      </c>
      <c r="H21" s="170">
        <f>'Přehled o rozpočtu_HČ'!N21</f>
        <v>94768193</v>
      </c>
      <c r="I21" s="171">
        <v>88017388</v>
      </c>
      <c r="J21" s="171">
        <v>88017388</v>
      </c>
      <c r="K21" s="706">
        <f t="shared" si="0"/>
        <v>1.0766985382479197</v>
      </c>
      <c r="L21" s="462">
        <v>91617000</v>
      </c>
      <c r="M21" s="476">
        <f t="shared" si="1"/>
        <v>3599612</v>
      </c>
    </row>
    <row r="22" spans="1:13" ht="15">
      <c r="A22" s="704">
        <v>16</v>
      </c>
      <c r="B22" s="705" t="s">
        <v>67</v>
      </c>
      <c r="C22" s="55" t="s">
        <v>68</v>
      </c>
      <c r="D22" s="461">
        <f>'Přehled o rozpočtu_HČ'!D22</f>
        <v>25913833</v>
      </c>
      <c r="E22" s="499">
        <f>'[6]Přehled o rozpočtu_HČ'!D22</f>
        <v>28250014</v>
      </c>
      <c r="F22" s="499">
        <f>'Přehled o rozpočtu_HČ'!H22</f>
        <v>27902174</v>
      </c>
      <c r="G22" s="176">
        <f>'Přehled o rozpočtu_HČ'!K22</f>
        <v>29047470</v>
      </c>
      <c r="H22" s="170">
        <f>'Přehled o rozpočtu_HČ'!N22</f>
        <v>31778337</v>
      </c>
      <c r="I22" s="171">
        <v>29679266</v>
      </c>
      <c r="J22" s="171">
        <v>29679266</v>
      </c>
      <c r="K22" s="706">
        <f t="shared" si="0"/>
        <v>1.0707251655077994</v>
      </c>
      <c r="L22" s="171">
        <v>31149780</v>
      </c>
      <c r="M22" s="476">
        <f t="shared" si="1"/>
        <v>1470514</v>
      </c>
    </row>
    <row r="23" spans="1:13" ht="15">
      <c r="A23" s="704">
        <v>17</v>
      </c>
      <c r="B23" s="705" t="s">
        <v>69</v>
      </c>
      <c r="C23" s="55" t="s">
        <v>70</v>
      </c>
      <c r="D23" s="461">
        <f>'Přehled o rozpočtu_HČ'!D23</f>
        <v>502179</v>
      </c>
      <c r="E23" s="499">
        <f>'[6]Přehled o rozpočtu_HČ'!D23</f>
        <v>538880</v>
      </c>
      <c r="F23" s="499">
        <f>'Přehled o rozpočtu_HČ'!H23</f>
        <v>571308</v>
      </c>
      <c r="G23" s="176">
        <f>'Přehled o rozpočtu_HČ'!K23</f>
        <v>546244</v>
      </c>
      <c r="H23" s="170">
        <f>'Přehled o rozpočtu_HČ'!N23</f>
        <v>617623</v>
      </c>
      <c r="I23" s="171">
        <v>611000</v>
      </c>
      <c r="J23" s="171">
        <v>611000</v>
      </c>
      <c r="K23" s="706">
        <f t="shared" si="0"/>
        <v>1.0108396072013093</v>
      </c>
      <c r="L23" s="171">
        <v>630000</v>
      </c>
      <c r="M23" s="476">
        <f t="shared" si="1"/>
        <v>19000</v>
      </c>
    </row>
    <row r="24" spans="1:13" ht="15">
      <c r="A24" s="704">
        <v>18</v>
      </c>
      <c r="B24" s="705" t="s">
        <v>71</v>
      </c>
      <c r="C24" s="55" t="s">
        <v>72</v>
      </c>
      <c r="D24" s="461">
        <f>'Přehled o rozpočtu_HČ'!D24</f>
        <v>2789798.25</v>
      </c>
      <c r="E24" s="499">
        <f>'[6]Přehled o rozpočtu_HČ'!D24</f>
        <v>5311791</v>
      </c>
      <c r="F24" s="499">
        <f>'Přehled o rozpočtu_HČ'!H24</f>
        <v>5182470.11</v>
      </c>
      <c r="G24" s="176">
        <f>'Přehled o rozpočtu_HČ'!K24</f>
        <v>4993679</v>
      </c>
      <c r="H24" s="170">
        <f>'Přehled o rozpočtu_HČ'!N24</f>
        <v>5440067</v>
      </c>
      <c r="I24" s="171">
        <v>6236000</v>
      </c>
      <c r="J24" s="171">
        <v>6236000</v>
      </c>
      <c r="K24" s="706">
        <f t="shared" si="0"/>
        <v>0.8723648171905067</v>
      </c>
      <c r="L24" s="171">
        <v>6250000</v>
      </c>
      <c r="M24" s="476">
        <f t="shared" si="1"/>
        <v>14000</v>
      </c>
    </row>
    <row r="25" spans="1:13" ht="15">
      <c r="A25" s="704">
        <v>19</v>
      </c>
      <c r="B25" s="705" t="s">
        <v>73</v>
      </c>
      <c r="C25" s="55" t="s">
        <v>74</v>
      </c>
      <c r="D25" s="461">
        <f>'Přehled o rozpočtu_HČ'!D25</f>
        <v>0</v>
      </c>
      <c r="E25" s="499">
        <f>'[6]Přehled o rozpočtu_HČ'!D25</f>
        <v>0</v>
      </c>
      <c r="F25" s="499">
        <f>'Přehled o rozpočtu_HČ'!H25</f>
        <v>0</v>
      </c>
      <c r="G25" s="176">
        <f>'Přehled o rozpočtu_HČ'!K25</f>
        <v>0</v>
      </c>
      <c r="H25" s="170">
        <f>'Přehled o rozpočtu_HČ'!N25</f>
        <v>0</v>
      </c>
      <c r="I25" s="171">
        <v>0</v>
      </c>
      <c r="J25" s="171">
        <v>0</v>
      </c>
      <c r="K25" s="706">
        <f t="shared" si="0"/>
      </c>
      <c r="L25" s="171"/>
      <c r="M25" s="476">
        <f t="shared" si="1"/>
        <v>0</v>
      </c>
    </row>
    <row r="26" spans="1:13" ht="15">
      <c r="A26" s="704">
        <v>20</v>
      </c>
      <c r="B26" s="705" t="s">
        <v>75</v>
      </c>
      <c r="C26" s="55" t="s">
        <v>76</v>
      </c>
      <c r="D26" s="461">
        <f>'Přehled o rozpočtu_HČ'!D26</f>
        <v>276680</v>
      </c>
      <c r="E26" s="499">
        <f>'[6]Přehled o rozpočtu_HČ'!D26</f>
        <v>318252</v>
      </c>
      <c r="F26" s="499">
        <f>'Přehled o rozpočtu_HČ'!H26</f>
        <v>305000</v>
      </c>
      <c r="G26" s="176">
        <f>'Přehled o rozpočtu_HČ'!K26</f>
        <v>357532</v>
      </c>
      <c r="H26" s="170">
        <f>'Přehled o rozpočtu_HČ'!N26</f>
        <v>328401</v>
      </c>
      <c r="I26" s="171">
        <v>305000</v>
      </c>
      <c r="J26" s="171">
        <v>305000</v>
      </c>
      <c r="K26" s="706">
        <f t="shared" si="0"/>
        <v>1.0767245901639344</v>
      </c>
      <c r="L26" s="171">
        <v>305000</v>
      </c>
      <c r="M26" s="476">
        <f t="shared" si="1"/>
        <v>0</v>
      </c>
    </row>
    <row r="27" spans="1:13" ht="15">
      <c r="A27" s="704">
        <v>21</v>
      </c>
      <c r="B27" s="705" t="s">
        <v>77</v>
      </c>
      <c r="C27" s="55" t="s">
        <v>78</v>
      </c>
      <c r="D27" s="461">
        <f>'Přehled o rozpočtu_HČ'!D27</f>
        <v>367876</v>
      </c>
      <c r="E27" s="499">
        <f>'[6]Přehled o rozpočtu_HČ'!D27</f>
        <v>557143</v>
      </c>
      <c r="F27" s="499">
        <f>'Přehled o rozpočtu_HČ'!H27</f>
        <v>363260</v>
      </c>
      <c r="G27" s="176">
        <f>'Přehled o rozpočtu_HČ'!K27</f>
        <v>467370</v>
      </c>
      <c r="H27" s="170">
        <f>'Přehled o rozpočtu_HČ'!N27</f>
        <v>585210</v>
      </c>
      <c r="I27" s="171">
        <v>358000</v>
      </c>
      <c r="J27" s="171">
        <v>358000</v>
      </c>
      <c r="K27" s="706">
        <f t="shared" si="0"/>
        <v>1.6346648044692738</v>
      </c>
      <c r="L27" s="171">
        <v>525000</v>
      </c>
      <c r="M27" s="476">
        <f t="shared" si="1"/>
        <v>167000</v>
      </c>
    </row>
    <row r="28" spans="1:13" ht="15">
      <c r="A28" s="704">
        <v>22</v>
      </c>
      <c r="B28" s="705" t="s">
        <v>79</v>
      </c>
      <c r="C28" s="55" t="s">
        <v>80</v>
      </c>
      <c r="D28" s="461">
        <f>'Přehled o rozpočtu_HČ'!D28</f>
        <v>123673.44</v>
      </c>
      <c r="E28" s="499">
        <f>'[6]Přehled o rozpočtu_HČ'!D28</f>
        <v>105325</v>
      </c>
      <c r="F28" s="499">
        <f>'Přehled o rozpočtu_HČ'!H28</f>
        <v>167305.11</v>
      </c>
      <c r="G28" s="176">
        <f>'Přehled o rozpočtu_HČ'!K28</f>
        <v>176542</v>
      </c>
      <c r="H28" s="170">
        <f>'Přehled o rozpočtu_HČ'!N28</f>
        <v>146095</v>
      </c>
      <c r="I28" s="171">
        <v>160000</v>
      </c>
      <c r="J28" s="171">
        <v>160000</v>
      </c>
      <c r="K28" s="706">
        <f t="shared" si="0"/>
        <v>0.91309375</v>
      </c>
      <c r="L28" s="171">
        <v>160000</v>
      </c>
      <c r="M28" s="476">
        <f t="shared" si="1"/>
        <v>0</v>
      </c>
    </row>
    <row r="29" spans="1:13" ht="15">
      <c r="A29" s="704">
        <v>23</v>
      </c>
      <c r="B29" s="705" t="s">
        <v>81</v>
      </c>
      <c r="C29" s="55" t="s">
        <v>82</v>
      </c>
      <c r="D29" s="461">
        <f>'Přehled o rozpočtu_HČ'!D29</f>
        <v>0</v>
      </c>
      <c r="E29" s="499">
        <f>'[6]Přehled o rozpočtu_HČ'!D29</f>
        <v>0</v>
      </c>
      <c r="F29" s="499">
        <f>'Přehled o rozpočtu_HČ'!H29</f>
        <v>0</v>
      </c>
      <c r="G29" s="176">
        <f>'Přehled o rozpočtu_HČ'!K29</f>
        <v>0</v>
      </c>
      <c r="H29" s="170">
        <f>'Přehled o rozpočtu_HČ'!N29</f>
        <v>0</v>
      </c>
      <c r="I29" s="171">
        <v>0</v>
      </c>
      <c r="J29" s="171">
        <v>0</v>
      </c>
      <c r="K29" s="706">
        <f t="shared" si="0"/>
      </c>
      <c r="L29" s="171"/>
      <c r="M29" s="476">
        <f t="shared" si="1"/>
        <v>0</v>
      </c>
    </row>
    <row r="30" spans="1:13" ht="15">
      <c r="A30" s="704">
        <v>24</v>
      </c>
      <c r="B30" s="705" t="s">
        <v>83</v>
      </c>
      <c r="C30" s="55" t="s">
        <v>84</v>
      </c>
      <c r="D30" s="461">
        <f>'Přehled o rozpočtu_HČ'!D30</f>
        <v>0</v>
      </c>
      <c r="E30" s="499">
        <f>'[6]Přehled o rozpočtu_HČ'!D30</f>
        <v>496</v>
      </c>
      <c r="F30" s="499">
        <f>'Přehled o rozpočtu_HČ'!H30</f>
        <v>1084</v>
      </c>
      <c r="G30" s="176">
        <f>'Přehled o rozpočtu_HČ'!K30</f>
        <v>0</v>
      </c>
      <c r="H30" s="170">
        <f>'Přehled o rozpočtu_HČ'!N30</f>
        <v>0</v>
      </c>
      <c r="I30" s="171">
        <v>0</v>
      </c>
      <c r="J30" s="171">
        <v>0</v>
      </c>
      <c r="K30" s="706">
        <f t="shared" si="0"/>
      </c>
      <c r="L30" s="171"/>
      <c r="M30" s="476">
        <f t="shared" si="1"/>
        <v>0</v>
      </c>
    </row>
    <row r="31" spans="1:13" ht="15">
      <c r="A31" s="704">
        <v>25</v>
      </c>
      <c r="B31" s="705" t="s">
        <v>85</v>
      </c>
      <c r="C31" s="55" t="s">
        <v>86</v>
      </c>
      <c r="D31" s="461">
        <f>'Přehled o rozpočtu_HČ'!D31</f>
        <v>0</v>
      </c>
      <c r="E31" s="499">
        <f>'[6]Přehled o rozpočtu_HČ'!D31</f>
        <v>0</v>
      </c>
      <c r="F31" s="499">
        <f>'Přehled o rozpočtu_HČ'!H31</f>
        <v>0</v>
      </c>
      <c r="G31" s="176">
        <f>'Přehled o rozpočtu_HČ'!K31</f>
        <v>0</v>
      </c>
      <c r="H31" s="170">
        <f>'Přehled o rozpočtu_HČ'!N31</f>
        <v>0</v>
      </c>
      <c r="I31" s="171">
        <v>0</v>
      </c>
      <c r="J31" s="171">
        <v>0</v>
      </c>
      <c r="K31" s="706">
        <f t="shared" si="0"/>
      </c>
      <c r="L31" s="171"/>
      <c r="M31" s="476">
        <f t="shared" si="1"/>
        <v>0</v>
      </c>
    </row>
    <row r="32" spans="1:13" ht="15">
      <c r="A32" s="704">
        <v>26</v>
      </c>
      <c r="B32" s="705" t="s">
        <v>87</v>
      </c>
      <c r="C32" s="55" t="s">
        <v>88</v>
      </c>
      <c r="D32" s="461">
        <f>'Přehled o rozpočtu_HČ'!D32</f>
        <v>116561.53</v>
      </c>
      <c r="E32" s="499">
        <f>'[6]Přehled o rozpočtu_HČ'!D32</f>
        <v>71303</v>
      </c>
      <c r="F32" s="499">
        <f>'Přehled o rozpočtu_HČ'!H32</f>
        <v>35885.39</v>
      </c>
      <c r="G32" s="176">
        <f>'Přehled o rozpočtu_HČ'!K32</f>
        <v>181416</v>
      </c>
      <c r="H32" s="170">
        <f>'Přehled o rozpočtu_HČ'!N32</f>
        <v>488498</v>
      </c>
      <c r="I32" s="171">
        <v>0</v>
      </c>
      <c r="J32" s="171">
        <v>0</v>
      </c>
      <c r="K32" s="706">
        <f t="shared" si="0"/>
      </c>
      <c r="L32" s="171">
        <v>50000</v>
      </c>
      <c r="M32" s="476">
        <f t="shared" si="1"/>
        <v>50000</v>
      </c>
    </row>
    <row r="33" spans="1:13" ht="15">
      <c r="A33" s="704">
        <v>27</v>
      </c>
      <c r="B33" s="705" t="s">
        <v>89</v>
      </c>
      <c r="C33" s="55" t="s">
        <v>90</v>
      </c>
      <c r="D33" s="461">
        <f>'Přehled o rozpočtu_HČ'!D33</f>
        <v>46016.84</v>
      </c>
      <c r="E33" s="499">
        <f>'[6]Přehled o rozpočtu_HČ'!D33</f>
        <v>388662</v>
      </c>
      <c r="F33" s="499">
        <f>'Přehled o rozpočtu_HČ'!H33</f>
        <v>743191.14</v>
      </c>
      <c r="G33" s="176">
        <f>'Přehled o rozpočtu_HČ'!K33</f>
        <v>3449736</v>
      </c>
      <c r="H33" s="170">
        <f>'Přehled o rozpočtu_HČ'!N33</f>
        <v>351253</v>
      </c>
      <c r="I33" s="171">
        <v>0</v>
      </c>
      <c r="J33" s="171">
        <v>0</v>
      </c>
      <c r="K33" s="706">
        <f t="shared" si="0"/>
      </c>
      <c r="L33" s="171">
        <v>400000</v>
      </c>
      <c r="M33" s="476">
        <f t="shared" si="1"/>
        <v>400000</v>
      </c>
    </row>
    <row r="34" spans="1:13" ht="15">
      <c r="A34" s="704">
        <v>28</v>
      </c>
      <c r="B34" s="705" t="s">
        <v>91</v>
      </c>
      <c r="C34" s="55" t="s">
        <v>92</v>
      </c>
      <c r="D34" s="461">
        <f>'Přehled o rozpočtu_HČ'!D34</f>
        <v>1736436</v>
      </c>
      <c r="E34" s="499">
        <f>'[6]Přehled o rozpočtu_HČ'!D34</f>
        <v>0</v>
      </c>
      <c r="F34" s="499">
        <f>'Přehled o rozpočtu_HČ'!H34</f>
        <v>0</v>
      </c>
      <c r="G34" s="176">
        <f>'Přehled o rozpočtu_HČ'!K34</f>
        <v>0</v>
      </c>
      <c r="H34" s="170">
        <f>'Přehled o rozpočtu_HČ'!N34</f>
        <v>0</v>
      </c>
      <c r="I34" s="171">
        <v>0</v>
      </c>
      <c r="J34" s="171">
        <v>0</v>
      </c>
      <c r="K34" s="706">
        <f t="shared" si="0"/>
      </c>
      <c r="L34" s="171">
        <v>0</v>
      </c>
      <c r="M34" s="476">
        <f t="shared" si="1"/>
        <v>0</v>
      </c>
    </row>
    <row r="35" spans="1:13" ht="15">
      <c r="A35" s="704">
        <v>29</v>
      </c>
      <c r="B35" s="705" t="s">
        <v>93</v>
      </c>
      <c r="C35" s="55" t="s">
        <v>94</v>
      </c>
      <c r="D35" s="461">
        <f>'Přehled o rozpočtu_HČ'!D35</f>
        <v>35925096</v>
      </c>
      <c r="E35" s="499">
        <f>'[6]Přehled o rozpočtu_HČ'!D35</f>
        <v>40630967</v>
      </c>
      <c r="F35" s="499">
        <f>'Přehled o rozpočtu_HČ'!H35</f>
        <v>46825813</v>
      </c>
      <c r="G35" s="176">
        <f>'Přehled o rozpočtu_HČ'!K35</f>
        <v>33051651</v>
      </c>
      <c r="H35" s="170">
        <f>'Přehled o rozpočtu_HČ'!N35</f>
        <v>31497390</v>
      </c>
      <c r="I35" s="171">
        <v>32303000</v>
      </c>
      <c r="J35" s="171">
        <v>32303000</v>
      </c>
      <c r="K35" s="706">
        <f t="shared" si="0"/>
        <v>0.975060830263443</v>
      </c>
      <c r="L35" s="462">
        <v>29930246</v>
      </c>
      <c r="M35" s="476">
        <f t="shared" si="1"/>
        <v>-2372754</v>
      </c>
    </row>
    <row r="36" spans="1:13" ht="15">
      <c r="A36" s="704">
        <v>30</v>
      </c>
      <c r="B36" s="705" t="s">
        <v>95</v>
      </c>
      <c r="C36" s="55" t="s">
        <v>96</v>
      </c>
      <c r="D36" s="461">
        <f>'Přehled o rozpočtu_HČ'!D36</f>
        <v>0</v>
      </c>
      <c r="E36" s="499">
        <f>'[6]Přehled o rozpočtu_HČ'!D36</f>
        <v>0</v>
      </c>
      <c r="F36" s="499">
        <f>'Přehled o rozpočtu_HČ'!H36</f>
        <v>0</v>
      </c>
      <c r="G36" s="176">
        <f>'Přehled o rozpočtu_HČ'!K36</f>
        <v>0</v>
      </c>
      <c r="H36" s="170">
        <f>'Přehled o rozpočtu_HČ'!N36</f>
        <v>0</v>
      </c>
      <c r="I36" s="171">
        <v>0</v>
      </c>
      <c r="J36" s="171">
        <v>0</v>
      </c>
      <c r="K36" s="706">
        <f t="shared" si="0"/>
      </c>
      <c r="L36" s="462">
        <v>0</v>
      </c>
      <c r="M36" s="476">
        <f t="shared" si="1"/>
        <v>0</v>
      </c>
    </row>
    <row r="37" spans="1:13" ht="15">
      <c r="A37" s="704">
        <v>31</v>
      </c>
      <c r="B37" s="705" t="s">
        <v>97</v>
      </c>
      <c r="C37" s="55" t="s">
        <v>98</v>
      </c>
      <c r="D37" s="461">
        <f>'Přehled o rozpočtu_HČ'!D37</f>
        <v>3991036</v>
      </c>
      <c r="E37" s="499">
        <f>'[6]Přehled o rozpočtu_HČ'!D37</f>
        <v>2786556</v>
      </c>
      <c r="F37" s="499">
        <f>'Přehled o rozpočtu_HČ'!H37</f>
        <v>3438057</v>
      </c>
      <c r="G37" s="176">
        <f>'Přehled o rozpočtu_HČ'!K37</f>
        <v>151048</v>
      </c>
      <c r="H37" s="170">
        <f>'Přehled o rozpočtu_HČ'!N37</f>
        <v>47077</v>
      </c>
      <c r="I37" s="171">
        <v>0</v>
      </c>
      <c r="J37" s="171">
        <v>0</v>
      </c>
      <c r="K37" s="706">
        <f t="shared" si="0"/>
      </c>
      <c r="L37" s="462">
        <v>50000</v>
      </c>
      <c r="M37" s="476">
        <f t="shared" si="1"/>
        <v>50000</v>
      </c>
    </row>
    <row r="38" spans="1:13" ht="15">
      <c r="A38" s="704">
        <v>32</v>
      </c>
      <c r="B38" s="705" t="s">
        <v>99</v>
      </c>
      <c r="C38" s="55" t="s">
        <v>100</v>
      </c>
      <c r="D38" s="461">
        <f>'Přehled o rozpočtu_HČ'!D38</f>
        <v>0</v>
      </c>
      <c r="E38" s="499">
        <f>'[6]Přehled o rozpočtu_HČ'!D38</f>
        <v>0</v>
      </c>
      <c r="F38" s="499">
        <f>'Přehled o rozpočtu_HČ'!H38</f>
        <v>0</v>
      </c>
      <c r="G38" s="176">
        <f>'Přehled o rozpočtu_HČ'!K38</f>
        <v>0</v>
      </c>
      <c r="H38" s="170">
        <f>'Přehled o rozpočtu_HČ'!N38</f>
        <v>0</v>
      </c>
      <c r="I38" s="171">
        <v>0</v>
      </c>
      <c r="J38" s="171">
        <v>0</v>
      </c>
      <c r="K38" s="706">
        <f t="shared" si="0"/>
      </c>
      <c r="L38" s="462">
        <v>0</v>
      </c>
      <c r="M38" s="476">
        <f t="shared" si="1"/>
        <v>0</v>
      </c>
    </row>
    <row r="39" spans="1:13" ht="15">
      <c r="A39" s="704">
        <v>33</v>
      </c>
      <c r="B39" s="705" t="s">
        <v>101</v>
      </c>
      <c r="C39" s="55" t="s">
        <v>102</v>
      </c>
      <c r="D39" s="461">
        <f>'Přehled o rozpočtu_HČ'!D39</f>
        <v>0</v>
      </c>
      <c r="E39" s="499">
        <f>'[6]Přehled o rozpočtu_HČ'!D39</f>
        <v>0</v>
      </c>
      <c r="F39" s="499">
        <f>'Přehled o rozpočtu_HČ'!H39</f>
        <v>0</v>
      </c>
      <c r="G39" s="176">
        <f>'Přehled o rozpočtu_HČ'!K39</f>
        <v>0</v>
      </c>
      <c r="H39" s="170">
        <f>'Přehled o rozpočtu_HČ'!N39</f>
        <v>0</v>
      </c>
      <c r="I39" s="171">
        <v>0</v>
      </c>
      <c r="J39" s="171">
        <v>0</v>
      </c>
      <c r="K39" s="706">
        <f t="shared" si="0"/>
      </c>
      <c r="L39" s="462">
        <v>0</v>
      </c>
      <c r="M39" s="476">
        <f t="shared" si="1"/>
        <v>0</v>
      </c>
    </row>
    <row r="40" spans="1:13" ht="15">
      <c r="A40" s="704">
        <v>34</v>
      </c>
      <c r="B40" s="705" t="s">
        <v>103</v>
      </c>
      <c r="C40" s="55" t="s">
        <v>104</v>
      </c>
      <c r="D40" s="461">
        <f>'Přehled o rozpočtu_HČ'!D40</f>
        <v>1325222.5</v>
      </c>
      <c r="E40" s="499">
        <f>'[6]Přehled o rozpočtu_HČ'!D40</f>
        <v>415932</v>
      </c>
      <c r="F40" s="499">
        <f>'Přehled o rozpočtu_HČ'!H40</f>
        <v>-569422.7</v>
      </c>
      <c r="G40" s="176">
        <f>'Přehled o rozpočtu_HČ'!K40</f>
        <v>-413317</v>
      </c>
      <c r="H40" s="170">
        <f>'Přehled o rozpočtu_HČ'!N40</f>
        <v>42195</v>
      </c>
      <c r="I40" s="171">
        <v>0</v>
      </c>
      <c r="J40" s="171">
        <v>0</v>
      </c>
      <c r="K40" s="706">
        <f t="shared" si="0"/>
      </c>
      <c r="L40" s="462">
        <v>30000</v>
      </c>
      <c r="M40" s="476">
        <f t="shared" si="1"/>
        <v>30000</v>
      </c>
    </row>
    <row r="41" spans="1:13" ht="15">
      <c r="A41" s="704">
        <v>35</v>
      </c>
      <c r="B41" s="705" t="s">
        <v>105</v>
      </c>
      <c r="C41" s="55" t="s">
        <v>106</v>
      </c>
      <c r="D41" s="461">
        <f>'Přehled o rozpočtu_HČ'!D41</f>
        <v>0</v>
      </c>
      <c r="E41" s="499">
        <f>'[6]Přehled o rozpočtu_HČ'!D41</f>
        <v>3207</v>
      </c>
      <c r="F41" s="499">
        <f>'Přehled o rozpočtu_HČ'!H41</f>
        <v>649571.8</v>
      </c>
      <c r="G41" s="176">
        <f>'Přehled o rozpočtu_HČ'!K41</f>
        <v>418925</v>
      </c>
      <c r="H41" s="170">
        <f>'Přehled o rozpočtu_HČ'!N41</f>
        <v>7721</v>
      </c>
      <c r="I41" s="171">
        <v>0</v>
      </c>
      <c r="J41" s="171">
        <v>0</v>
      </c>
      <c r="K41" s="706">
        <f t="shared" si="0"/>
      </c>
      <c r="L41" s="462">
        <v>10000</v>
      </c>
      <c r="M41" s="476">
        <f t="shared" si="1"/>
        <v>10000</v>
      </c>
    </row>
    <row r="42" spans="1:13" ht="15">
      <c r="A42" s="704">
        <v>36</v>
      </c>
      <c r="B42" s="705" t="s">
        <v>107</v>
      </c>
      <c r="C42" s="55" t="s">
        <v>108</v>
      </c>
      <c r="D42" s="461">
        <f>'Přehled o rozpočtu_HČ'!D42</f>
        <v>4948474.21</v>
      </c>
      <c r="E42" s="499">
        <f>'[6]Přehled o rozpočtu_HČ'!D42</f>
        <v>9070278</v>
      </c>
      <c r="F42" s="499">
        <f>'Přehled o rozpočtu_HČ'!H42</f>
        <v>3247436.86</v>
      </c>
      <c r="G42" s="176">
        <f>'Přehled o rozpočtu_HČ'!K42</f>
        <v>2450294</v>
      </c>
      <c r="H42" s="170">
        <f>'Přehled o rozpočtu_HČ'!N42</f>
        <v>6731982</v>
      </c>
      <c r="I42" s="171">
        <v>0</v>
      </c>
      <c r="J42" s="171">
        <v>0</v>
      </c>
      <c r="K42" s="706">
        <f t="shared" si="0"/>
      </c>
      <c r="L42" s="462">
        <v>3763000</v>
      </c>
      <c r="M42" s="476">
        <f t="shared" si="1"/>
        <v>3763000</v>
      </c>
    </row>
    <row r="43" spans="1:13" ht="15">
      <c r="A43" s="704">
        <v>37</v>
      </c>
      <c r="B43" s="705" t="s">
        <v>109</v>
      </c>
      <c r="C43" s="55" t="s">
        <v>110</v>
      </c>
      <c r="D43" s="461">
        <f>'Přehled o rozpočtu_HČ'!D43</f>
        <v>23099393.12</v>
      </c>
      <c r="E43" s="499">
        <f>'[6]Přehled o rozpočtu_HČ'!D43</f>
        <v>28334846</v>
      </c>
      <c r="F43" s="499">
        <f>'Přehled o rozpočtu_HČ'!H43</f>
        <v>8593564.34</v>
      </c>
      <c r="G43" s="176">
        <f>'Přehled o rozpočtu_HČ'!K43</f>
        <v>8692113</v>
      </c>
      <c r="H43" s="637">
        <f>'Přehled o rozpočtu_HČ'!N43</f>
        <v>8976991</v>
      </c>
      <c r="I43" s="171">
        <v>8563000</v>
      </c>
      <c r="J43" s="171">
        <v>8563000</v>
      </c>
      <c r="K43" s="706">
        <f t="shared" si="0"/>
        <v>1.0483464907158706</v>
      </c>
      <c r="L43" s="462">
        <v>8400000</v>
      </c>
      <c r="M43" s="476">
        <f t="shared" si="1"/>
        <v>-163000</v>
      </c>
    </row>
    <row r="44" spans="1:13" s="100" customFormat="1" ht="15.75">
      <c r="A44" s="707">
        <v>38</v>
      </c>
      <c r="B44" s="708" t="s">
        <v>251</v>
      </c>
      <c r="C44" s="378"/>
      <c r="D44" s="709">
        <f>'Přehled o rozpočtu_HČ'!D44</f>
        <v>758981.12</v>
      </c>
      <c r="E44" s="626">
        <f aca="true" t="shared" si="2" ref="E44:J44">SUM(E45:E49)</f>
        <v>2058815</v>
      </c>
      <c r="F44" s="626">
        <f>'Přehled o rozpočtu_HČ'!H44</f>
        <v>597352.44</v>
      </c>
      <c r="G44" s="380">
        <f>'Přehled o rozpočtu_HČ'!K44</f>
        <v>137124</v>
      </c>
      <c r="H44" s="638">
        <f>'Přehled o rozpočtu_HČ'!N44</f>
        <v>62467</v>
      </c>
      <c r="I44" s="710">
        <f t="shared" si="2"/>
        <v>2000000</v>
      </c>
      <c r="J44" s="710">
        <f t="shared" si="2"/>
        <v>2000000</v>
      </c>
      <c r="K44" s="711">
        <f>+IF(J44=0,"",H44/J44)</f>
        <v>0.0312335</v>
      </c>
      <c r="L44" s="710">
        <f>L45+L46+L47+L48+L49</f>
        <v>110000</v>
      </c>
      <c r="M44" s="712">
        <f t="shared" si="1"/>
        <v>-1890000</v>
      </c>
    </row>
    <row r="45" spans="1:13" ht="15">
      <c r="A45" s="704">
        <v>39</v>
      </c>
      <c r="B45" s="705" t="s">
        <v>111</v>
      </c>
      <c r="C45" s="55" t="s">
        <v>112</v>
      </c>
      <c r="D45" s="461">
        <f>'Přehled o rozpočtu_HČ'!D45</f>
        <v>0</v>
      </c>
      <c r="E45" s="499">
        <f>'[6]Přehled o rozpočtu_HČ'!D45</f>
        <v>0</v>
      </c>
      <c r="F45" s="499">
        <f>'Přehled o rozpočtu_HČ'!H45</f>
        <v>0</v>
      </c>
      <c r="G45" s="176">
        <f>'Přehled o rozpočtu_HČ'!K45</f>
        <v>0</v>
      </c>
      <c r="H45" s="170">
        <f>'Přehled o rozpočtu_HČ'!N45</f>
        <v>0</v>
      </c>
      <c r="I45" s="171">
        <v>0</v>
      </c>
      <c r="J45" s="171">
        <v>0</v>
      </c>
      <c r="K45" s="706">
        <f t="shared" si="0"/>
      </c>
      <c r="L45" s="462"/>
      <c r="M45" s="476">
        <f t="shared" si="1"/>
        <v>0</v>
      </c>
    </row>
    <row r="46" spans="1:13" ht="15">
      <c r="A46" s="704">
        <v>40</v>
      </c>
      <c r="B46" s="705" t="s">
        <v>113</v>
      </c>
      <c r="C46" s="55" t="s">
        <v>114</v>
      </c>
      <c r="D46" s="461">
        <f>'Přehled o rozpočtu_HČ'!D46</f>
        <v>0</v>
      </c>
      <c r="E46" s="499">
        <f>'[6]Přehled o rozpočtu_HČ'!D46</f>
        <v>0</v>
      </c>
      <c r="F46" s="499">
        <f>'Přehled o rozpočtu_HČ'!H46</f>
        <v>0</v>
      </c>
      <c r="G46" s="176">
        <f>'Přehled o rozpočtu_HČ'!K46</f>
        <v>0</v>
      </c>
      <c r="H46" s="170">
        <f>'Přehled o rozpočtu_HČ'!N46</f>
        <v>0</v>
      </c>
      <c r="I46" s="171">
        <v>0</v>
      </c>
      <c r="J46" s="171">
        <v>0</v>
      </c>
      <c r="K46" s="706">
        <f t="shared" si="0"/>
      </c>
      <c r="L46" s="462"/>
      <c r="M46" s="476">
        <f t="shared" si="1"/>
        <v>0</v>
      </c>
    </row>
    <row r="47" spans="1:13" ht="15">
      <c r="A47" s="704">
        <v>41</v>
      </c>
      <c r="B47" s="705" t="s">
        <v>115</v>
      </c>
      <c r="C47" s="55" t="s">
        <v>116</v>
      </c>
      <c r="D47" s="461">
        <f>'Přehled o rozpočtu_HČ'!D47</f>
        <v>758981.12</v>
      </c>
      <c r="E47" s="499">
        <f>'[6]Přehled o rozpočtu_HČ'!D47</f>
        <v>2058815</v>
      </c>
      <c r="F47" s="499">
        <f>'Přehled o rozpočtu_HČ'!H47</f>
        <v>380665.93</v>
      </c>
      <c r="G47" s="176">
        <f>'Přehled o rozpočtu_HČ'!K47</f>
        <v>130675</v>
      </c>
      <c r="H47" s="170">
        <f>'Přehled o rozpočtu_HČ'!N47</f>
        <v>57315</v>
      </c>
      <c r="I47" s="171">
        <v>2000000</v>
      </c>
      <c r="J47" s="171">
        <v>2000000</v>
      </c>
      <c r="K47" s="706">
        <f t="shared" si="0"/>
        <v>0.0286575</v>
      </c>
      <c r="L47" s="462">
        <v>100000</v>
      </c>
      <c r="M47" s="476">
        <f t="shared" si="1"/>
        <v>-1900000</v>
      </c>
    </row>
    <row r="48" spans="1:13" ht="15">
      <c r="A48" s="704">
        <v>42</v>
      </c>
      <c r="B48" s="705" t="s">
        <v>117</v>
      </c>
      <c r="C48" s="55" t="s">
        <v>118</v>
      </c>
      <c r="D48" s="461">
        <f>'Přehled o rozpočtu_HČ'!D48</f>
        <v>0</v>
      </c>
      <c r="E48" s="499">
        <f>'[6]Přehled o rozpočtu_HČ'!D48</f>
        <v>0</v>
      </c>
      <c r="F48" s="499">
        <f>'Přehled o rozpočtu_HČ'!H48</f>
        <v>215107</v>
      </c>
      <c r="G48" s="176">
        <f>'Přehled o rozpočtu_HČ'!K48</f>
        <v>0</v>
      </c>
      <c r="H48" s="170">
        <f>'Přehled o rozpočtu_HČ'!N48</f>
        <v>0</v>
      </c>
      <c r="I48" s="171">
        <v>0</v>
      </c>
      <c r="J48" s="171">
        <v>0</v>
      </c>
      <c r="K48" s="706">
        <f t="shared" si="0"/>
      </c>
      <c r="L48" s="462"/>
      <c r="M48" s="476">
        <f t="shared" si="1"/>
        <v>0</v>
      </c>
    </row>
    <row r="49" spans="1:13" ht="15">
      <c r="A49" s="704">
        <v>43</v>
      </c>
      <c r="B49" s="705" t="s">
        <v>119</v>
      </c>
      <c r="C49" s="55" t="s">
        <v>120</v>
      </c>
      <c r="D49" s="461">
        <f>'Přehled o rozpočtu_HČ'!D49</f>
        <v>0</v>
      </c>
      <c r="E49" s="499">
        <f>'[6]Přehled o rozpočtu_HČ'!D49</f>
        <v>0</v>
      </c>
      <c r="F49" s="499">
        <f>'Přehled o rozpočtu_HČ'!H49</f>
        <v>1579.51</v>
      </c>
      <c r="G49" s="176">
        <f>'Přehled o rozpočtu_HČ'!K49</f>
        <v>6449</v>
      </c>
      <c r="H49" s="637">
        <f>'Přehled o rozpočtu_HČ'!N49</f>
        <v>5152</v>
      </c>
      <c r="I49" s="171">
        <v>0</v>
      </c>
      <c r="J49" s="171">
        <v>0</v>
      </c>
      <c r="K49" s="706">
        <f t="shared" si="0"/>
      </c>
      <c r="L49" s="462">
        <v>10000</v>
      </c>
      <c r="M49" s="476">
        <f t="shared" si="1"/>
        <v>10000</v>
      </c>
    </row>
    <row r="50" spans="1:13" s="100" customFormat="1" ht="15.75">
      <c r="A50" s="707">
        <v>44</v>
      </c>
      <c r="B50" s="708" t="s">
        <v>252</v>
      </c>
      <c r="C50" s="378"/>
      <c r="D50" s="709">
        <f>SUM(D51:D52)</f>
        <v>0</v>
      </c>
      <c r="E50" s="626">
        <f>SUM(E51:E52)</f>
        <v>0</v>
      </c>
      <c r="F50" s="626">
        <f>SUM(F51:F52)</f>
        <v>0</v>
      </c>
      <c r="G50" s="380">
        <f>'Přehled o rozpočtu_HČ'!K50</f>
        <v>0</v>
      </c>
      <c r="H50" s="638">
        <f>'Přehled o rozpočtu_HČ'!N50</f>
        <v>0</v>
      </c>
      <c r="I50" s="384">
        <f>SUM(I51:I52)</f>
        <v>0</v>
      </c>
      <c r="J50" s="384">
        <f>SUM(J51:J52)</f>
        <v>0</v>
      </c>
      <c r="K50" s="713">
        <f t="shared" si="0"/>
      </c>
      <c r="L50" s="710">
        <f>L51+L52</f>
        <v>0</v>
      </c>
      <c r="M50" s="712">
        <f t="shared" si="1"/>
        <v>0</v>
      </c>
    </row>
    <row r="51" spans="1:13" ht="15">
      <c r="A51" s="704">
        <v>45</v>
      </c>
      <c r="B51" s="705" t="s">
        <v>121</v>
      </c>
      <c r="C51" s="55" t="s">
        <v>122</v>
      </c>
      <c r="D51" s="461">
        <f>'Přehled o rozpočtu_HČ'!D51</f>
        <v>0</v>
      </c>
      <c r="E51" s="499">
        <v>0</v>
      </c>
      <c r="F51" s="499">
        <f>'Přehled o rozpočtu_HČ'!H51</f>
        <v>0</v>
      </c>
      <c r="G51" s="176">
        <f>'Přehled o rozpočtu_HČ'!K51</f>
        <v>0</v>
      </c>
      <c r="H51" s="637">
        <f>'Přehled o rozpočtu_HČ'!N51</f>
        <v>0</v>
      </c>
      <c r="I51" s="171">
        <v>0</v>
      </c>
      <c r="J51" s="171">
        <v>0</v>
      </c>
      <c r="K51" s="706">
        <f t="shared" si="0"/>
      </c>
      <c r="L51" s="462">
        <v>0</v>
      </c>
      <c r="M51" s="476">
        <f t="shared" si="1"/>
        <v>0</v>
      </c>
    </row>
    <row r="52" spans="1:13" ht="15">
      <c r="A52" s="704">
        <v>46</v>
      </c>
      <c r="B52" s="705" t="s">
        <v>123</v>
      </c>
      <c r="C52" s="55" t="s">
        <v>124</v>
      </c>
      <c r="D52" s="461">
        <f>'Přehled o rozpočtu_HČ'!D52</f>
        <v>0</v>
      </c>
      <c r="E52" s="499">
        <v>0</v>
      </c>
      <c r="F52" s="499">
        <f>'Přehled o rozpočtu_HČ'!I52</f>
        <v>0</v>
      </c>
      <c r="G52" s="176">
        <f>'Přehled o rozpočtu_HČ'!K52</f>
        <v>0</v>
      </c>
      <c r="H52" s="637">
        <f>'Přehled o rozpočtu_HČ'!N52</f>
        <v>0</v>
      </c>
      <c r="I52" s="171">
        <v>0</v>
      </c>
      <c r="J52" s="171">
        <v>0</v>
      </c>
      <c r="K52" s="706">
        <f t="shared" si="0"/>
      </c>
      <c r="L52" s="462">
        <v>0</v>
      </c>
      <c r="M52" s="476">
        <f t="shared" si="1"/>
        <v>0</v>
      </c>
    </row>
    <row r="53" spans="1:13" s="100" customFormat="1" ht="15.75">
      <c r="A53" s="707">
        <v>47</v>
      </c>
      <c r="B53" s="708" t="s">
        <v>253</v>
      </c>
      <c r="C53" s="378"/>
      <c r="D53" s="709">
        <f>+D54+D55</f>
        <v>11071670.23</v>
      </c>
      <c r="E53" s="626">
        <f>+E54+E55</f>
        <v>8264109</v>
      </c>
      <c r="F53" s="626">
        <f>'Přehled o rozpočtu_HČ'!H53</f>
        <v>6574592.57</v>
      </c>
      <c r="G53" s="380">
        <f>'Přehled o rozpočtu_HČ'!K53</f>
        <v>7825958</v>
      </c>
      <c r="H53" s="638">
        <f>'Přehled o rozpočtu_HČ'!N53</f>
        <v>3963105</v>
      </c>
      <c r="I53" s="710">
        <f>+I54+I55</f>
        <v>6000000</v>
      </c>
      <c r="J53" s="710">
        <f>+J54+J55</f>
        <v>6000000</v>
      </c>
      <c r="K53" s="713">
        <f>+IF(J53=0,"",H53/J53)</f>
        <v>0.6605175</v>
      </c>
      <c r="L53" s="710">
        <f>+L54+L55</f>
        <v>6000000</v>
      </c>
      <c r="M53" s="712">
        <f t="shared" si="1"/>
        <v>0</v>
      </c>
    </row>
    <row r="54" spans="1:13" ht="15">
      <c r="A54" s="704">
        <v>48</v>
      </c>
      <c r="B54" s="705" t="s">
        <v>125</v>
      </c>
      <c r="C54" s="55" t="s">
        <v>126</v>
      </c>
      <c r="D54" s="461">
        <f>'Přehled o rozpočtu_HČ'!D54</f>
        <v>10260419.23</v>
      </c>
      <c r="E54" s="499">
        <f>'[6]Přehled o rozpočtu_HČ'!D54</f>
        <v>8809019</v>
      </c>
      <c r="F54" s="499">
        <f>'Přehled o rozpočtu_HČ'!H54</f>
        <v>6146269.57</v>
      </c>
      <c r="G54" s="176">
        <f>'Přehled o rozpočtu_HČ'!K54</f>
        <v>7696054</v>
      </c>
      <c r="H54" s="637">
        <f>'Přehled o rozpočtu_HČ'!N54</f>
        <v>3117663</v>
      </c>
      <c r="I54" s="171">
        <v>6000000</v>
      </c>
      <c r="J54" s="171">
        <v>6000000</v>
      </c>
      <c r="K54" s="706">
        <f t="shared" si="0"/>
        <v>0.5196105</v>
      </c>
      <c r="L54" s="462">
        <v>6000000</v>
      </c>
      <c r="M54" s="476">
        <f t="shared" si="1"/>
        <v>0</v>
      </c>
    </row>
    <row r="55" spans="1:13" ht="15.75" thickBot="1">
      <c r="A55" s="386">
        <v>49</v>
      </c>
      <c r="B55" s="387" t="s">
        <v>127</v>
      </c>
      <c r="C55" s="56" t="s">
        <v>128</v>
      </c>
      <c r="D55" s="348">
        <f>'Přehled o rozpočtu_HČ'!D55</f>
        <v>811251</v>
      </c>
      <c r="E55" s="500">
        <f>'[6]Přehled o rozpočtu_HČ'!D55</f>
        <v>-544910</v>
      </c>
      <c r="F55" s="500">
        <f>'Přehled o rozpočtu_HČ'!H55</f>
        <v>428323</v>
      </c>
      <c r="G55" s="178">
        <f>'Přehled o rozpočtu_HČ'!K55</f>
        <v>129904</v>
      </c>
      <c r="H55" s="714">
        <f>'Přehled o rozpočtu_HČ'!N55</f>
        <v>845442</v>
      </c>
      <c r="I55" s="172">
        <v>0</v>
      </c>
      <c r="J55" s="172">
        <v>0</v>
      </c>
      <c r="K55" s="389">
        <f t="shared" si="0"/>
      </c>
      <c r="L55" s="349">
        <v>0</v>
      </c>
      <c r="M55" s="350">
        <f t="shared" si="1"/>
        <v>0</v>
      </c>
    </row>
    <row r="56" spans="1:13" s="101" customFormat="1" ht="19.5" thickBot="1">
      <c r="A56" s="117">
        <v>50</v>
      </c>
      <c r="B56" s="118" t="s">
        <v>248</v>
      </c>
      <c r="C56" s="119" t="s">
        <v>40</v>
      </c>
      <c r="D56" s="390">
        <f>'Přehled o rozpočtu_HČ'!D56</f>
        <v>346840657.38</v>
      </c>
      <c r="E56" s="627">
        <f>'[6]Přehled o rozpočtu_HČ'!D56</f>
        <v>360657184.58</v>
      </c>
      <c r="F56" s="627">
        <f>'Přehled o rozpočtu_HČ'!H56</f>
        <v>383702108.71000004</v>
      </c>
      <c r="G56" s="391">
        <f>'Přehled o rozpočtu_HČ'!K56</f>
        <v>357068481</v>
      </c>
      <c r="H56" s="173">
        <f>'Přehled o rozpočtu_HČ'!N56</f>
        <v>349972729.76</v>
      </c>
      <c r="I56" s="120">
        <f>I57+I72+I78</f>
        <v>308398654</v>
      </c>
      <c r="J56" s="120">
        <f>J57+J72+J78</f>
        <v>312791647</v>
      </c>
      <c r="K56" s="392">
        <f t="shared" si="0"/>
        <v>1.1188685283529967</v>
      </c>
      <c r="L56" s="121">
        <f>L57+L72+L78</f>
        <v>292547076</v>
      </c>
      <c r="M56" s="122">
        <f t="shared" si="1"/>
        <v>-20244571</v>
      </c>
    </row>
    <row r="57" spans="1:13" s="100" customFormat="1" ht="15.75">
      <c r="A57" s="366">
        <v>51</v>
      </c>
      <c r="B57" s="367" t="s">
        <v>254</v>
      </c>
      <c r="C57" s="368"/>
      <c r="D57" s="393">
        <f>'Přehled o rozpočtu_HČ'!D57</f>
        <v>195017251.85</v>
      </c>
      <c r="E57" s="628">
        <f>'[6]Přehled o rozpočtu_HČ'!D57</f>
        <v>181584934</v>
      </c>
      <c r="F57" s="628">
        <f>'Přehled o rozpočtu_HČ'!H57</f>
        <v>215387534.51000002</v>
      </c>
      <c r="G57" s="623">
        <f>'Přehled o rozpočtu_HČ'!K57</f>
        <v>181533866</v>
      </c>
      <c r="H57" s="394">
        <f>'Přehled o rozpočtu_HČ'!N57</f>
        <v>172175956</v>
      </c>
      <c r="I57" s="395">
        <f>I58+I59+I60+I61+I62+I63+I64+I65+I66+I67+I68+I69+I70+I71</f>
        <v>176625328</v>
      </c>
      <c r="J57" s="395">
        <f>J58+J59+J60+J61+J62+J63+J64+J65+J66+J67+J68+J69+J70+J71</f>
        <v>176625328</v>
      </c>
      <c r="K57" s="371">
        <f t="shared" si="0"/>
        <v>0.9748089809633644</v>
      </c>
      <c r="L57" s="372">
        <f>L58+L59+L60+L61+L62+L63+L64+L65+L66+L67+L68+L69+L70+L71</f>
        <v>133011000</v>
      </c>
      <c r="M57" s="373">
        <f t="shared" si="1"/>
        <v>-43614328</v>
      </c>
    </row>
    <row r="58" spans="1:13" ht="15">
      <c r="A58" s="313">
        <v>52</v>
      </c>
      <c r="B58" s="374" t="s">
        <v>129</v>
      </c>
      <c r="C58" s="55" t="s">
        <v>130</v>
      </c>
      <c r="D58" s="297">
        <f>'Přehled o rozpočtu_HČ'!D58</f>
        <v>146000995.2</v>
      </c>
      <c r="E58" s="499">
        <f>'[6]Přehled o rozpočtu_HČ'!D58</f>
        <v>144909898</v>
      </c>
      <c r="F58" s="499">
        <f>'Přehled o rozpočtu_HČ'!H58</f>
        <v>145085454.66</v>
      </c>
      <c r="G58" s="176">
        <f>'Přehled o rozpočtu_HČ'!K58</f>
        <v>141913378</v>
      </c>
      <c r="H58" s="170">
        <f>'Přehled o rozpočtu_HČ'!N58</f>
        <v>112158228</v>
      </c>
      <c r="I58" s="171">
        <v>122094000</v>
      </c>
      <c r="J58" s="171">
        <v>122094000</v>
      </c>
      <c r="K58" s="375">
        <f t="shared" si="0"/>
        <v>0.9186219470244238</v>
      </c>
      <c r="L58" s="171">
        <v>103467000</v>
      </c>
      <c r="M58" s="248">
        <f>+L58-J58</f>
        <v>-18627000</v>
      </c>
    </row>
    <row r="59" spans="1:13" ht="15">
      <c r="A59" s="313">
        <v>53</v>
      </c>
      <c r="B59" s="374" t="s">
        <v>131</v>
      </c>
      <c r="C59" s="55" t="s">
        <v>132</v>
      </c>
      <c r="D59" s="297">
        <f>'Přehled o rozpočtu_HČ'!D59</f>
        <v>4655361.66</v>
      </c>
      <c r="E59" s="499">
        <f>'[6]Přehled o rozpočtu_HČ'!D59</f>
        <v>3338649</v>
      </c>
      <c r="F59" s="499">
        <f>'Přehled o rozpočtu_HČ'!H59</f>
        <v>3516781.33</v>
      </c>
      <c r="G59" s="176">
        <f>'Přehled o rozpočtu_HČ'!K59</f>
        <v>3509804</v>
      </c>
      <c r="H59" s="170">
        <f>'Přehled o rozpočtu_HČ'!N59</f>
        <v>3257852</v>
      </c>
      <c r="I59" s="171">
        <v>3016000</v>
      </c>
      <c r="J59" s="171">
        <v>3016000</v>
      </c>
      <c r="K59" s="375">
        <f t="shared" si="0"/>
        <v>1.0801896551724137</v>
      </c>
      <c r="L59" s="171">
        <v>3100000</v>
      </c>
      <c r="M59" s="248">
        <f t="shared" si="1"/>
        <v>84000</v>
      </c>
    </row>
    <row r="60" spans="1:13" ht="15">
      <c r="A60" s="313">
        <v>54</v>
      </c>
      <c r="B60" s="374" t="s">
        <v>133</v>
      </c>
      <c r="C60" s="55" t="s">
        <v>134</v>
      </c>
      <c r="D60" s="297">
        <f>'Přehled o rozpočtu_HČ'!D60</f>
        <v>15490917.75</v>
      </c>
      <c r="E60" s="499">
        <f>'[6]Přehled o rozpočtu_HČ'!D60</f>
        <v>16537841</v>
      </c>
      <c r="F60" s="499">
        <f>'Přehled o rozpočtu_HČ'!H60</f>
        <v>17291411.47</v>
      </c>
      <c r="G60" s="176">
        <f>'Přehled o rozpočtu_HČ'!K60</f>
        <v>18416928</v>
      </c>
      <c r="H60" s="170">
        <f>'Přehled o rozpočtu_HČ'!N60</f>
        <v>21690010</v>
      </c>
      <c r="I60" s="171">
        <v>16562000</v>
      </c>
      <c r="J60" s="171">
        <v>16562000</v>
      </c>
      <c r="K60" s="375">
        <f t="shared" si="0"/>
        <v>1.3096250452843858</v>
      </c>
      <c r="L60" s="171">
        <v>18256000</v>
      </c>
      <c r="M60" s="248">
        <f t="shared" si="1"/>
        <v>1694000</v>
      </c>
    </row>
    <row r="61" spans="1:13" ht="15">
      <c r="A61" s="313">
        <v>55</v>
      </c>
      <c r="B61" s="374" t="s">
        <v>135</v>
      </c>
      <c r="C61" s="55" t="s">
        <v>136</v>
      </c>
      <c r="D61" s="297">
        <f>'Přehled o rozpočtu_HČ'!D61</f>
        <v>2360108.99</v>
      </c>
      <c r="E61" s="499">
        <f>'[6]Přehled o rozpočtu_HČ'!D61</f>
        <v>1977555</v>
      </c>
      <c r="F61" s="499">
        <f>'Přehled o rozpočtu_HČ'!H61</f>
        <v>2594117.59</v>
      </c>
      <c r="G61" s="176">
        <f>'Přehled o rozpočtu_HČ'!K61</f>
        <v>2515793</v>
      </c>
      <c r="H61" s="170">
        <f>'Přehled o rozpočtu_HČ'!N61</f>
        <v>2231532</v>
      </c>
      <c r="I61" s="171">
        <v>2396000</v>
      </c>
      <c r="J61" s="171">
        <v>2396000</v>
      </c>
      <c r="K61" s="375">
        <f t="shared" si="0"/>
        <v>0.9313572621035059</v>
      </c>
      <c r="L61" s="171">
        <v>2305000</v>
      </c>
      <c r="M61" s="248">
        <f>+L61-J61</f>
        <v>-91000</v>
      </c>
    </row>
    <row r="62" spans="1:13" ht="15">
      <c r="A62" s="313">
        <v>56</v>
      </c>
      <c r="B62" s="374" t="s">
        <v>137</v>
      </c>
      <c r="C62" s="55" t="s">
        <v>138</v>
      </c>
      <c r="D62" s="297">
        <f>'Přehled o rozpočtu_HČ'!D62</f>
        <v>43768.6</v>
      </c>
      <c r="E62" s="499">
        <f>'[6]Přehled o rozpočtu_HČ'!D62</f>
        <v>41620</v>
      </c>
      <c r="F62" s="499">
        <f>'Přehled o rozpočtu_HČ'!H62</f>
        <v>34444.35</v>
      </c>
      <c r="G62" s="176">
        <f>'Přehled o rozpočtu_HČ'!K62</f>
        <v>35172</v>
      </c>
      <c r="H62" s="170">
        <f>'Přehled o rozpočtu_HČ'!N62</f>
        <v>34510</v>
      </c>
      <c r="I62" s="171">
        <v>35000</v>
      </c>
      <c r="J62" s="171">
        <v>35000</v>
      </c>
      <c r="K62" s="375">
        <f t="shared" si="0"/>
        <v>0.986</v>
      </c>
      <c r="L62" s="171">
        <v>35000</v>
      </c>
      <c r="M62" s="248">
        <f t="shared" si="1"/>
        <v>0</v>
      </c>
    </row>
    <row r="63" spans="1:13" ht="15">
      <c r="A63" s="313">
        <v>57</v>
      </c>
      <c r="B63" s="374" t="s">
        <v>81</v>
      </c>
      <c r="C63" s="55" t="s">
        <v>139</v>
      </c>
      <c r="D63" s="297">
        <f>'Přehled o rozpočtu_HČ'!D63</f>
        <v>168791</v>
      </c>
      <c r="E63" s="499">
        <f>'[6]Přehled o rozpočtu_HČ'!D63</f>
        <v>248230</v>
      </c>
      <c r="F63" s="499">
        <f>'Přehled o rozpočtu_HČ'!H63</f>
        <v>124509.4</v>
      </c>
      <c r="G63" s="176">
        <f>'Přehled o rozpočtu_HČ'!K63</f>
        <v>358929</v>
      </c>
      <c r="H63" s="170">
        <f>'Přehled o rozpočtu_HČ'!N63</f>
        <v>339073</v>
      </c>
      <c r="I63" s="171">
        <v>0</v>
      </c>
      <c r="J63" s="171">
        <v>0</v>
      </c>
      <c r="K63" s="375">
        <f t="shared" si="0"/>
      </c>
      <c r="L63" s="171">
        <v>90000</v>
      </c>
      <c r="M63" s="248">
        <f t="shared" si="1"/>
        <v>90000</v>
      </c>
    </row>
    <row r="64" spans="1:13" ht="15">
      <c r="A64" s="313">
        <v>58</v>
      </c>
      <c r="B64" s="374" t="s">
        <v>83</v>
      </c>
      <c r="C64" s="55" t="s">
        <v>140</v>
      </c>
      <c r="D64" s="297">
        <f>'Přehled o rozpočtu_HČ'!D64</f>
        <v>0</v>
      </c>
      <c r="E64" s="499">
        <f>'[6]Přehled o rozpočtu_HČ'!D64</f>
        <v>0</v>
      </c>
      <c r="F64" s="499">
        <f>'Přehled o rozpočtu_HČ'!H64</f>
        <v>0</v>
      </c>
      <c r="G64" s="176">
        <f>'Přehled o rozpočtu_HČ'!K64</f>
        <v>0</v>
      </c>
      <c r="H64" s="170">
        <f>'Přehled o rozpočtu_HČ'!N64</f>
        <v>0</v>
      </c>
      <c r="I64" s="171">
        <v>0</v>
      </c>
      <c r="J64" s="171">
        <v>0</v>
      </c>
      <c r="K64" s="375">
        <f t="shared" si="0"/>
      </c>
      <c r="L64" s="171"/>
      <c r="M64" s="248">
        <f t="shared" si="1"/>
        <v>0</v>
      </c>
    </row>
    <row r="65" spans="1:13" ht="15">
      <c r="A65" s="313">
        <v>59</v>
      </c>
      <c r="B65" s="374" t="s">
        <v>141</v>
      </c>
      <c r="C65" s="55" t="s">
        <v>142</v>
      </c>
      <c r="D65" s="297">
        <f>'Přehled o rozpočtu_HČ'!D65</f>
        <v>0</v>
      </c>
      <c r="E65" s="499">
        <f>'[6]Přehled o rozpočtu_HČ'!D65</f>
        <v>0</v>
      </c>
      <c r="F65" s="499">
        <f>'Přehled o rozpočtu_HČ'!H65</f>
        <v>0</v>
      </c>
      <c r="G65" s="176">
        <f>'Přehled o rozpočtu_HČ'!K65</f>
        <v>0</v>
      </c>
      <c r="H65" s="170">
        <f>'Přehled o rozpočtu_HČ'!N65</f>
        <v>0</v>
      </c>
      <c r="I65" s="171">
        <v>0</v>
      </c>
      <c r="J65" s="171">
        <v>0</v>
      </c>
      <c r="K65" s="375">
        <f t="shared" si="0"/>
      </c>
      <c r="L65" s="171"/>
      <c r="M65" s="248">
        <f t="shared" si="1"/>
        <v>0</v>
      </c>
    </row>
    <row r="66" spans="1:13" ht="15">
      <c r="A66" s="313">
        <v>60</v>
      </c>
      <c r="B66" s="374" t="s">
        <v>143</v>
      </c>
      <c r="C66" s="55" t="s">
        <v>144</v>
      </c>
      <c r="D66" s="297">
        <f>'Přehled o rozpočtu_HČ'!D66</f>
        <v>34996.4</v>
      </c>
      <c r="E66" s="499">
        <f>'[6]Přehled o rozpočtu_HČ'!D66</f>
        <v>17110</v>
      </c>
      <c r="F66" s="499">
        <f>'Přehled o rozpočtu_HČ'!H66</f>
        <v>12944.69</v>
      </c>
      <c r="G66" s="176">
        <f>'Přehled o rozpočtu_HČ'!K66</f>
        <v>10704</v>
      </c>
      <c r="H66" s="170">
        <f>'Přehled o rozpočtu_HČ'!N66</f>
        <v>511081</v>
      </c>
      <c r="I66" s="171">
        <v>0</v>
      </c>
      <c r="J66" s="171">
        <v>0</v>
      </c>
      <c r="K66" s="375">
        <f t="shared" si="0"/>
      </c>
      <c r="L66" s="171"/>
      <c r="M66" s="248">
        <f t="shared" si="1"/>
        <v>0</v>
      </c>
    </row>
    <row r="67" spans="1:13" ht="15">
      <c r="A67" s="313">
        <v>61</v>
      </c>
      <c r="B67" s="374" t="s">
        <v>145</v>
      </c>
      <c r="C67" s="55" t="s">
        <v>146</v>
      </c>
      <c r="D67" s="297">
        <f>'Přehled o rozpočtu_HČ'!D67</f>
        <v>0</v>
      </c>
      <c r="E67" s="499">
        <f>'[6]Přehled o rozpočtu_HČ'!D67</f>
        <v>0</v>
      </c>
      <c r="F67" s="499">
        <f>'Přehled o rozpočtu_HČ'!H67</f>
        <v>0</v>
      </c>
      <c r="G67" s="176">
        <f>'Přehled o rozpočtu_HČ'!K67</f>
        <v>0</v>
      </c>
      <c r="H67" s="170">
        <f>'Přehled o rozpočtu_HČ'!N67</f>
        <v>0</v>
      </c>
      <c r="I67" s="171">
        <v>0</v>
      </c>
      <c r="J67" s="171">
        <v>0</v>
      </c>
      <c r="K67" s="375">
        <f t="shared" si="0"/>
      </c>
      <c r="L67" s="171"/>
      <c r="M67" s="248">
        <f t="shared" si="1"/>
        <v>0</v>
      </c>
    </row>
    <row r="68" spans="1:13" ht="15">
      <c r="A68" s="313">
        <v>62</v>
      </c>
      <c r="B68" s="374" t="s">
        <v>183</v>
      </c>
      <c r="C68" s="55" t="s">
        <v>147</v>
      </c>
      <c r="D68" s="297">
        <f>'Přehled o rozpočtu_HČ'!D68</f>
        <v>2852710.46</v>
      </c>
      <c r="E68" s="499">
        <f>'[6]Přehled o rozpočtu_HČ'!D68</f>
        <v>50053</v>
      </c>
      <c r="F68" s="499">
        <f>'Přehled o rozpočtu_HČ'!H68</f>
        <v>376160.33</v>
      </c>
      <c r="G68" s="176">
        <f>'Přehled o rozpočtu_HČ'!K68</f>
        <v>395058</v>
      </c>
      <c r="H68" s="170">
        <f>'Přehled o rozpočtu_HČ'!N68</f>
        <v>313346</v>
      </c>
      <c r="I68" s="171">
        <v>0</v>
      </c>
      <c r="J68" s="171">
        <v>0</v>
      </c>
      <c r="K68" s="375">
        <f t="shared" si="0"/>
      </c>
      <c r="L68" s="171">
        <v>320000</v>
      </c>
      <c r="M68" s="248">
        <f t="shared" si="1"/>
        <v>320000</v>
      </c>
    </row>
    <row r="69" spans="1:13" ht="15">
      <c r="A69" s="313">
        <v>63</v>
      </c>
      <c r="B69" s="374" t="s">
        <v>148</v>
      </c>
      <c r="C69" s="55" t="s">
        <v>149</v>
      </c>
      <c r="D69" s="297">
        <f>'Přehled o rozpočtu_HČ'!D69</f>
        <v>0</v>
      </c>
      <c r="E69" s="499">
        <f>'[6]Přehled o rozpočtu_HČ'!D69</f>
        <v>0</v>
      </c>
      <c r="F69" s="499">
        <f>'Přehled o rozpočtu_HČ'!H69</f>
        <v>0</v>
      </c>
      <c r="G69" s="176">
        <f>'Přehled o rozpočtu_HČ'!K69</f>
        <v>0</v>
      </c>
      <c r="H69" s="170">
        <f>'Přehled o rozpočtu_HČ'!N69</f>
        <v>0</v>
      </c>
      <c r="I69" s="171">
        <v>0</v>
      </c>
      <c r="J69" s="171">
        <v>0</v>
      </c>
      <c r="K69" s="375">
        <f t="shared" si="0"/>
      </c>
      <c r="L69" s="171"/>
      <c r="M69" s="248">
        <f t="shared" si="1"/>
        <v>0</v>
      </c>
    </row>
    <row r="70" spans="1:13" ht="15">
      <c r="A70" s="313">
        <v>64</v>
      </c>
      <c r="B70" s="374" t="s">
        <v>150</v>
      </c>
      <c r="C70" s="55" t="s">
        <v>151</v>
      </c>
      <c r="D70" s="297">
        <f>'Přehled o rozpočtu_HČ'!D70</f>
        <v>18109649.54</v>
      </c>
      <c r="E70" s="499">
        <f>'[6]Přehled o rozpočtu_HČ'!D70</f>
        <v>3760052</v>
      </c>
      <c r="F70" s="499">
        <f>'Přehled o rozpočtu_HČ'!H70</f>
        <v>17034903.48</v>
      </c>
      <c r="G70" s="176">
        <f>'Přehled o rozpočtu_HČ'!K70</f>
        <v>663350</v>
      </c>
      <c r="H70" s="170">
        <f>'Přehled o rozpočtu_HČ'!N70</f>
        <v>28943607</v>
      </c>
      <c r="I70" s="171">
        <v>19739328</v>
      </c>
      <c r="J70" s="171">
        <v>19739328</v>
      </c>
      <c r="K70" s="375">
        <f t="shared" si="0"/>
        <v>1.4662914056648737</v>
      </c>
      <c r="L70" s="171"/>
      <c r="M70" s="248">
        <f t="shared" si="1"/>
        <v>-19739328</v>
      </c>
    </row>
    <row r="71" spans="1:13" ht="15">
      <c r="A71" s="313">
        <v>65</v>
      </c>
      <c r="B71" s="374" t="s">
        <v>152</v>
      </c>
      <c r="C71" s="55" t="s">
        <v>153</v>
      </c>
      <c r="D71" s="297">
        <f>'Přehled o rozpočtu_HČ'!D71</f>
        <v>5299952.25</v>
      </c>
      <c r="E71" s="499">
        <f>'[6]Přehled o rozpočtu_HČ'!D71</f>
        <v>10703926</v>
      </c>
      <c r="F71" s="499">
        <f>'Přehled o rozpočtu_HČ'!H71</f>
        <v>29316807.21</v>
      </c>
      <c r="G71" s="176">
        <f>'Přehled o rozpočtu_HČ'!K71</f>
        <v>13714750</v>
      </c>
      <c r="H71" s="170">
        <f>'Přehled o rozpočtu_HČ'!N71</f>
        <v>2696717</v>
      </c>
      <c r="I71" s="171">
        <v>12783000</v>
      </c>
      <c r="J71" s="171">
        <v>12783000</v>
      </c>
      <c r="K71" s="375">
        <f t="shared" si="0"/>
        <v>0.2109611984667136</v>
      </c>
      <c r="L71" s="171">
        <v>5438000</v>
      </c>
      <c r="M71" s="248">
        <f t="shared" si="1"/>
        <v>-7345000</v>
      </c>
    </row>
    <row r="72" spans="1:13" s="100" customFormat="1" ht="15.75">
      <c r="A72" s="376">
        <v>66</v>
      </c>
      <c r="B72" s="377" t="s">
        <v>255</v>
      </c>
      <c r="C72" s="378"/>
      <c r="D72" s="379">
        <f>'Přehled o rozpočtu_HČ'!D72</f>
        <v>4853115.53</v>
      </c>
      <c r="E72" s="626">
        <f>E73+E74+E75+E76+E77</f>
        <v>1054517</v>
      </c>
      <c r="F72" s="626">
        <f>'Přehled o rozpočtu_HČ'!H72</f>
        <v>709432.53</v>
      </c>
      <c r="G72" s="623">
        <f>'Přehled o rozpočtu_HČ'!K72</f>
        <v>147388</v>
      </c>
      <c r="H72" s="381">
        <f>'Přehled o rozpočtu_HČ'!N72</f>
        <v>67553</v>
      </c>
      <c r="I72" s="384">
        <f>SUM(I73:I77)</f>
        <v>661000</v>
      </c>
      <c r="J72" s="384">
        <f>SUM(J73:J77)</f>
        <v>661000</v>
      </c>
      <c r="K72" s="385">
        <f t="shared" si="0"/>
        <v>0.1021981845688351</v>
      </c>
      <c r="L72" s="384">
        <f>SUM(L73:L77)</f>
        <v>35000</v>
      </c>
      <c r="M72" s="383">
        <f t="shared" si="1"/>
        <v>-626000</v>
      </c>
    </row>
    <row r="73" spans="1:13" ht="15">
      <c r="A73" s="313">
        <v>67</v>
      </c>
      <c r="B73" s="374" t="s">
        <v>154</v>
      </c>
      <c r="C73" s="55" t="s">
        <v>155</v>
      </c>
      <c r="D73" s="297">
        <f>'Přehled o rozpočtu_HČ'!D73</f>
        <v>0</v>
      </c>
      <c r="E73" s="499">
        <f>'[6]Přehled o rozpočtu_HČ'!D73</f>
        <v>0</v>
      </c>
      <c r="F73" s="499">
        <f>'Přehled o rozpočtu_HČ'!H73</f>
        <v>0</v>
      </c>
      <c r="G73" s="176">
        <f>'Přehled o rozpočtu_HČ'!K73</f>
        <v>0</v>
      </c>
      <c r="H73" s="170">
        <f>'Přehled o rozpočtu_HČ'!N73</f>
        <v>0</v>
      </c>
      <c r="I73" s="171">
        <v>0</v>
      </c>
      <c r="J73" s="171">
        <v>0</v>
      </c>
      <c r="K73" s="375">
        <f aca="true" t="shared" si="3" ref="K73:K98">+IF(J73=0,"",H73/J73)</f>
      </c>
      <c r="L73" s="171">
        <v>0</v>
      </c>
      <c r="M73" s="248">
        <f t="shared" si="1"/>
        <v>0</v>
      </c>
    </row>
    <row r="74" spans="1:13" ht="15">
      <c r="A74" s="313">
        <v>68</v>
      </c>
      <c r="B74" s="374" t="s">
        <v>113</v>
      </c>
      <c r="C74" s="55" t="s">
        <v>156</v>
      </c>
      <c r="D74" s="297">
        <f>'Přehled o rozpočtu_HČ'!D74</f>
        <v>366867.59</v>
      </c>
      <c r="E74" s="499">
        <f>'[6]Přehled o rozpočtu_HČ'!D74</f>
        <v>29111</v>
      </c>
      <c r="F74" s="499">
        <f>'Přehled o rozpočtu_HČ'!H74</f>
        <v>965.86</v>
      </c>
      <c r="G74" s="176">
        <f>'Přehled o rozpočtu_HČ'!K74</f>
        <v>188</v>
      </c>
      <c r="H74" s="170">
        <f>'Přehled o rozpočtu_HČ'!N74</f>
        <v>0</v>
      </c>
      <c r="I74" s="171">
        <v>1000</v>
      </c>
      <c r="J74" s="171">
        <v>1000</v>
      </c>
      <c r="K74" s="375">
        <f t="shared" si="3"/>
        <v>0</v>
      </c>
      <c r="L74" s="171"/>
      <c r="M74" s="248">
        <f aca="true" t="shared" si="4" ref="M74:M98">+L74-J74</f>
        <v>-1000</v>
      </c>
    </row>
    <row r="75" spans="1:13" ht="15">
      <c r="A75" s="313">
        <v>69</v>
      </c>
      <c r="B75" s="374" t="s">
        <v>157</v>
      </c>
      <c r="C75" s="55" t="s">
        <v>158</v>
      </c>
      <c r="D75" s="297">
        <f>'Přehled o rozpočtu_HČ'!D75</f>
        <v>1280686.94</v>
      </c>
      <c r="E75" s="499">
        <f>'[6]Přehled o rozpočtu_HČ'!D75</f>
        <v>661736</v>
      </c>
      <c r="F75" s="499">
        <f>'Přehled o rozpočtu_HČ'!H75</f>
        <v>165499.67</v>
      </c>
      <c r="G75" s="176">
        <f>'Přehled o rozpočtu_HČ'!K75</f>
        <v>200</v>
      </c>
      <c r="H75" s="170">
        <f>'Přehled o rozpočtu_HČ'!N75</f>
        <v>67553</v>
      </c>
      <c r="I75" s="171">
        <v>660000</v>
      </c>
      <c r="J75" s="171">
        <v>660000</v>
      </c>
      <c r="K75" s="375">
        <f t="shared" si="3"/>
        <v>0.1023530303030303</v>
      </c>
      <c r="L75" s="171">
        <v>35000</v>
      </c>
      <c r="M75" s="248">
        <f t="shared" si="4"/>
        <v>-625000</v>
      </c>
    </row>
    <row r="76" spans="1:13" ht="15">
      <c r="A76" s="313">
        <v>70</v>
      </c>
      <c r="B76" s="374" t="s">
        <v>159</v>
      </c>
      <c r="C76" s="55" t="s">
        <v>160</v>
      </c>
      <c r="D76" s="297">
        <f>'Přehled o rozpočtu_HČ'!D76</f>
        <v>3205561</v>
      </c>
      <c r="E76" s="499">
        <f>'[6]Přehled o rozpočtu_HČ'!D76</f>
        <v>363670</v>
      </c>
      <c r="F76" s="499">
        <f>'Přehled o rozpočtu_HČ'!H76</f>
        <v>542967</v>
      </c>
      <c r="G76" s="176">
        <f>'Přehled o rozpočtu_HČ'!K76</f>
        <v>147000</v>
      </c>
      <c r="H76" s="170">
        <f>'Přehled o rozpočtu_HČ'!N76</f>
        <v>0</v>
      </c>
      <c r="I76" s="171">
        <v>0</v>
      </c>
      <c r="J76" s="171">
        <v>0</v>
      </c>
      <c r="K76" s="375">
        <f t="shared" si="3"/>
      </c>
      <c r="L76" s="171">
        <v>0</v>
      </c>
      <c r="M76" s="248">
        <f t="shared" si="4"/>
        <v>0</v>
      </c>
    </row>
    <row r="77" spans="1:13" ht="15">
      <c r="A77" s="313">
        <v>71</v>
      </c>
      <c r="B77" s="374" t="s">
        <v>161</v>
      </c>
      <c r="C77" s="55" t="s">
        <v>162</v>
      </c>
      <c r="D77" s="297">
        <f>'Přehled o rozpočtu_HČ'!D77</f>
        <v>0</v>
      </c>
      <c r="E77" s="499">
        <f>'[6]Přehled o rozpočtu_HČ'!D77</f>
        <v>0</v>
      </c>
      <c r="F77" s="499">
        <f>'Přehled o rozpočtu_HČ'!H77</f>
        <v>0</v>
      </c>
      <c r="G77" s="176">
        <f>'Přehled o rozpočtu_HČ'!K77</f>
        <v>0</v>
      </c>
      <c r="H77" s="170">
        <f>'Přehled o rozpočtu_HČ'!N77</f>
        <v>0</v>
      </c>
      <c r="I77" s="171">
        <v>0</v>
      </c>
      <c r="J77" s="171">
        <v>0</v>
      </c>
      <c r="K77" s="375">
        <f t="shared" si="3"/>
      </c>
      <c r="L77" s="171">
        <v>0</v>
      </c>
      <c r="M77" s="248">
        <f t="shared" si="4"/>
        <v>0</v>
      </c>
    </row>
    <row r="78" spans="1:13" s="100" customFormat="1" ht="15.75">
      <c r="A78" s="376">
        <v>72</v>
      </c>
      <c r="B78" s="377" t="s">
        <v>256</v>
      </c>
      <c r="C78" s="378"/>
      <c r="D78" s="396">
        <f>'Přehled o rozpočtu_HČ'!D78</f>
        <v>146970290</v>
      </c>
      <c r="E78" s="629">
        <f>E79+E96</f>
        <v>178017733.57999998</v>
      </c>
      <c r="F78" s="629">
        <f>'Přehled o rozpočtu_HČ'!H78</f>
        <v>167605141.67</v>
      </c>
      <c r="G78" s="623">
        <f>'Přehled o rozpočtu_HČ'!K78</f>
        <v>175387227</v>
      </c>
      <c r="H78" s="397">
        <f>'Přehled o rozpočtu_HČ'!N78</f>
        <v>177729220.76</v>
      </c>
      <c r="I78" s="398">
        <f>I79+I96</f>
        <v>131112326</v>
      </c>
      <c r="J78" s="398">
        <f>J79+J96</f>
        <v>135505319</v>
      </c>
      <c r="K78" s="385">
        <f t="shared" si="3"/>
        <v>1.3116032792779153</v>
      </c>
      <c r="L78" s="382">
        <f>L79+L96</f>
        <v>159501076</v>
      </c>
      <c r="M78" s="383">
        <f t="shared" si="4"/>
        <v>23995757</v>
      </c>
    </row>
    <row r="79" spans="1:13" ht="15">
      <c r="A79" s="313">
        <v>73</v>
      </c>
      <c r="B79" s="374" t="s">
        <v>163</v>
      </c>
      <c r="C79" s="55" t="s">
        <v>164</v>
      </c>
      <c r="D79" s="305">
        <f>'Přehled o rozpočtu_HČ'!D79</f>
        <v>146970290</v>
      </c>
      <c r="E79" s="630">
        <f>SUM(E80:E95)</f>
        <v>178017733.57999998</v>
      </c>
      <c r="F79" s="630">
        <f>'Přehled o rozpočtu_HČ'!H79</f>
        <v>167605141.67</v>
      </c>
      <c r="G79" s="304">
        <f>'Přehled o rozpočtu_HČ'!K79</f>
        <v>175387227</v>
      </c>
      <c r="H79" s="320">
        <f>'Přehled o rozpočtu_HČ'!N79</f>
        <v>177729220.76</v>
      </c>
      <c r="I79" s="305">
        <f>SUM(I80:I95)</f>
        <v>131112326</v>
      </c>
      <c r="J79" s="305">
        <f>SUM(J80:J95)</f>
        <v>135505319</v>
      </c>
      <c r="K79" s="375">
        <f t="shared" si="3"/>
        <v>1.3116032792779153</v>
      </c>
      <c r="L79" s="247">
        <f>SUM(L80:L95)</f>
        <v>159501076</v>
      </c>
      <c r="M79" s="248">
        <f t="shared" si="4"/>
        <v>23995757</v>
      </c>
    </row>
    <row r="80" spans="1:13" ht="15">
      <c r="A80" s="313"/>
      <c r="B80" s="374" t="s">
        <v>412</v>
      </c>
      <c r="C80" s="55"/>
      <c r="D80" s="297">
        <f>'Přehled o rozpočtu_HČ'!D80</f>
        <v>105011000</v>
      </c>
      <c r="E80" s="499">
        <f>'[6]Přehled o rozpočtu_HČ'!D80</f>
        <v>108968464</v>
      </c>
      <c r="F80" s="499">
        <f>'Přehled o rozpočtu_HČ'!H80</f>
        <v>106690033</v>
      </c>
      <c r="G80" s="176">
        <f>'Přehled o rozpočtu_HČ'!K80</f>
        <v>112072650</v>
      </c>
      <c r="H80" s="170">
        <f>'Přehled o rozpočtu_HČ'!N80</f>
        <v>120722326</v>
      </c>
      <c r="I80" s="171">
        <v>120802326</v>
      </c>
      <c r="J80" s="171">
        <v>120722326</v>
      </c>
      <c r="K80" s="375">
        <f t="shared" si="3"/>
        <v>1</v>
      </c>
      <c r="L80" s="171">
        <v>120722326</v>
      </c>
      <c r="M80" s="248">
        <f t="shared" si="4"/>
        <v>0</v>
      </c>
    </row>
    <row r="81" spans="1:13" ht="15">
      <c r="A81" s="313"/>
      <c r="B81" s="399" t="s">
        <v>413</v>
      </c>
      <c r="C81" s="55"/>
      <c r="D81" s="297"/>
      <c r="E81" s="499">
        <f>'[6]Přehled o rozpočtu_HČ'!D81</f>
        <v>0</v>
      </c>
      <c r="F81" s="499"/>
      <c r="G81" s="176"/>
      <c r="H81" s="170">
        <v>731852</v>
      </c>
      <c r="I81" s="171"/>
      <c r="J81" s="171">
        <v>128872</v>
      </c>
      <c r="K81" s="375"/>
      <c r="L81" s="171">
        <v>731852</v>
      </c>
      <c r="M81" s="248">
        <f t="shared" si="4"/>
        <v>602980</v>
      </c>
    </row>
    <row r="82" spans="1:13" ht="15">
      <c r="A82" s="313"/>
      <c r="B82" s="399" t="s">
        <v>257</v>
      </c>
      <c r="C82" s="55"/>
      <c r="D82" s="297">
        <f>'Přehled o rozpočtu_HČ'!D82</f>
        <v>0</v>
      </c>
      <c r="E82" s="499">
        <f>'[6]Přehled o rozpočtu_HČ'!D82</f>
        <v>15223</v>
      </c>
      <c r="F82" s="499">
        <f>'Přehled o rozpočtu_HČ'!H82</f>
        <v>0</v>
      </c>
      <c r="G82" s="176">
        <f>'Přehled o rozpočtu_HČ'!K82</f>
        <v>0</v>
      </c>
      <c r="H82" s="170">
        <f>'Přehled o rozpočtu_HČ'!N82</f>
        <v>0</v>
      </c>
      <c r="I82" s="171"/>
      <c r="J82" s="171"/>
      <c r="K82" s="375">
        <f t="shared" si="3"/>
      </c>
      <c r="L82" s="171"/>
      <c r="M82" s="248">
        <f t="shared" si="4"/>
        <v>0</v>
      </c>
    </row>
    <row r="83" spans="1:13" ht="15">
      <c r="A83" s="313"/>
      <c r="B83" s="399" t="s">
        <v>371</v>
      </c>
      <c r="C83" s="55"/>
      <c r="D83" s="297">
        <f>'Přehled o rozpočtu_HČ'!D83</f>
        <v>9915985</v>
      </c>
      <c r="E83" s="499">
        <f>'[6]Přehled o rozpočtu_HČ'!D83</f>
        <v>7953622.16</v>
      </c>
      <c r="F83" s="499">
        <f>'Přehled o rozpočtu_HČ'!H83</f>
        <v>0</v>
      </c>
      <c r="G83" s="176">
        <f>'Přehled o rozpočtu_HČ'!K83</f>
        <v>0</v>
      </c>
      <c r="H83" s="170">
        <f>'Přehled o rozpočtu_HČ'!N83</f>
        <v>0</v>
      </c>
      <c r="I83" s="171"/>
      <c r="J83" s="171"/>
      <c r="K83" s="375"/>
      <c r="L83" s="171"/>
      <c r="M83" s="248">
        <f t="shared" si="4"/>
        <v>0</v>
      </c>
    </row>
    <row r="84" spans="1:13" ht="15">
      <c r="A84" s="313"/>
      <c r="B84" s="399" t="s">
        <v>372</v>
      </c>
      <c r="C84" s="55"/>
      <c r="D84" s="297">
        <f>'Přehled o rozpočtu_HČ'!D84</f>
        <v>6400224</v>
      </c>
      <c r="E84" s="499">
        <f>'[6]Přehled o rozpočtu_HČ'!D84</f>
        <v>6400000</v>
      </c>
      <c r="F84" s="499">
        <f>'Přehled o rozpočtu_HČ'!H84</f>
        <v>6400000</v>
      </c>
      <c r="G84" s="176">
        <f>'Přehled o rozpočtu_HČ'!K84</f>
        <v>6930000</v>
      </c>
      <c r="H84" s="170">
        <v>5712000</v>
      </c>
      <c r="I84" s="171"/>
      <c r="J84" s="171"/>
      <c r="K84" s="375"/>
      <c r="L84" s="171">
        <v>5712000</v>
      </c>
      <c r="M84" s="248">
        <f t="shared" si="4"/>
        <v>5712000</v>
      </c>
    </row>
    <row r="85" spans="1:13" ht="15">
      <c r="A85" s="313"/>
      <c r="B85" s="399" t="s">
        <v>373</v>
      </c>
      <c r="C85" s="55"/>
      <c r="D85" s="297">
        <f>'Přehled o rozpočtu_HČ'!D85</f>
        <v>1865521</v>
      </c>
      <c r="E85" s="499">
        <f>'[6]Přehled o rozpočtu_HČ'!D85</f>
        <v>4177422.64</v>
      </c>
      <c r="F85" s="499">
        <f>'Přehled o rozpočtu_HČ'!H85</f>
        <v>20881802</v>
      </c>
      <c r="G85" s="176">
        <f>'Přehled o rozpočtu_HČ'!K85</f>
        <v>4944796</v>
      </c>
      <c r="H85" s="170">
        <f>'Přehled o rozpočtu_HČ'!N85</f>
        <v>1489631.53</v>
      </c>
      <c r="I85" s="171"/>
      <c r="J85" s="462">
        <v>2244121</v>
      </c>
      <c r="K85" s="375"/>
      <c r="L85" s="171">
        <v>2444121</v>
      </c>
      <c r="M85" s="248">
        <f t="shared" si="4"/>
        <v>200000</v>
      </c>
    </row>
    <row r="86" spans="1:13" ht="15">
      <c r="A86" s="313"/>
      <c r="B86" s="399" t="s">
        <v>258</v>
      </c>
      <c r="C86" s="55"/>
      <c r="D86" s="297">
        <f>'Přehled o rozpočtu_HČ'!D86</f>
        <v>2550000</v>
      </c>
      <c r="E86" s="499">
        <f>'[6]Přehled o rozpočtu_HČ'!D86</f>
        <v>2550000</v>
      </c>
      <c r="F86" s="499">
        <f>'Přehled o rozpočtu_HČ'!H86</f>
        <v>2550000</v>
      </c>
      <c r="G86" s="176">
        <f>'Přehled o rozpočtu_HČ'!K86</f>
        <v>2550000</v>
      </c>
      <c r="H86" s="170">
        <f>'Přehled o rozpočtu_HČ'!N86</f>
        <v>2600000</v>
      </c>
      <c r="I86" s="171"/>
      <c r="J86" s="171">
        <v>2100000</v>
      </c>
      <c r="K86" s="375">
        <f t="shared" si="3"/>
        <v>1.2380952380952381</v>
      </c>
      <c r="L86" s="171">
        <v>2600000</v>
      </c>
      <c r="M86" s="248">
        <f t="shared" si="4"/>
        <v>500000</v>
      </c>
    </row>
    <row r="87" spans="1:13" ht="15">
      <c r="A87" s="313"/>
      <c r="B87" s="399" t="s">
        <v>259</v>
      </c>
      <c r="C87" s="55"/>
      <c r="D87" s="297">
        <f>'Přehled o rozpočtu_HČ'!D87</f>
        <v>3420000</v>
      </c>
      <c r="E87" s="499">
        <f>'[6]Přehled o rozpočtu_HČ'!D87</f>
        <v>2754596.05</v>
      </c>
      <c r="F87" s="499">
        <f>'Přehled o rozpočtu_HČ'!H87</f>
        <v>3373962</v>
      </c>
      <c r="G87" s="176">
        <f>'Přehled o rozpočtu_HČ'!K87</f>
        <v>3374607</v>
      </c>
      <c r="H87" s="170">
        <f>'Přehled o rozpočtu_HČ'!N87</f>
        <v>3488573.01</v>
      </c>
      <c r="I87" s="171"/>
      <c r="J87" s="171"/>
      <c r="K87" s="375">
        <f t="shared" si="3"/>
      </c>
      <c r="L87" s="171">
        <v>3394856</v>
      </c>
      <c r="M87" s="248">
        <f t="shared" si="4"/>
        <v>3394856</v>
      </c>
    </row>
    <row r="88" spans="1:13" ht="15">
      <c r="A88" s="313"/>
      <c r="B88" s="399" t="s">
        <v>264</v>
      </c>
      <c r="C88" s="55"/>
      <c r="D88" s="297">
        <f>'Přehled o rozpočtu_HČ'!D88</f>
        <v>166629</v>
      </c>
      <c r="E88" s="499">
        <f>'[6]Přehled o rozpočtu_HČ'!D88</f>
        <v>7408534.27</v>
      </c>
      <c r="F88" s="499">
        <f>'Přehled o rozpočtu_HČ'!H88</f>
        <v>2537226</v>
      </c>
      <c r="G88" s="176">
        <f>'Přehled o rozpočtu_HČ'!K88</f>
        <v>0</v>
      </c>
      <c r="H88" s="170">
        <f>'Přehled o rozpočtu_HČ'!N88</f>
        <v>0</v>
      </c>
      <c r="I88" s="171"/>
      <c r="J88" s="171"/>
      <c r="K88" s="375">
        <f t="shared" si="3"/>
      </c>
      <c r="L88" s="171"/>
      <c r="M88" s="248">
        <f t="shared" si="4"/>
        <v>0</v>
      </c>
    </row>
    <row r="89" spans="1:13" ht="15">
      <c r="A89" s="313"/>
      <c r="B89" s="399" t="s">
        <v>265</v>
      </c>
      <c r="C89" s="55"/>
      <c r="D89" s="297">
        <f>'Přehled o rozpočtu_HČ'!D89</f>
        <v>0</v>
      </c>
      <c r="E89" s="499">
        <f>'[6]Přehled o rozpočtu_HČ'!D89</f>
        <v>0</v>
      </c>
      <c r="F89" s="499">
        <f>'Přehled o rozpočtu_HČ'!H89</f>
        <v>0</v>
      </c>
      <c r="G89" s="176">
        <f>'Přehled o rozpočtu_HČ'!K89</f>
        <v>85000</v>
      </c>
      <c r="H89" s="170">
        <f>'Přehled o rozpočtu_HČ'!N89</f>
        <v>1250000</v>
      </c>
      <c r="I89" s="171"/>
      <c r="J89" s="171"/>
      <c r="K89" s="375">
        <f t="shared" si="3"/>
      </c>
      <c r="L89" s="171"/>
      <c r="M89" s="248">
        <f t="shared" si="4"/>
        <v>0</v>
      </c>
    </row>
    <row r="90" spans="1:13" ht="15">
      <c r="A90" s="313"/>
      <c r="B90" s="399" t="s">
        <v>266</v>
      </c>
      <c r="C90" s="55"/>
      <c r="D90" s="297">
        <f>'Přehled o rozpočtu_HČ'!D90</f>
        <v>499629</v>
      </c>
      <c r="E90" s="499">
        <f>'[6]Přehled o rozpočtu_HČ'!D90</f>
        <v>8083.7</v>
      </c>
      <c r="F90" s="499">
        <f>'Přehled o rozpočtu_HČ'!H90</f>
        <v>0</v>
      </c>
      <c r="G90" s="176">
        <f>'Přehled o rozpočtu_HČ'!K90</f>
        <v>0</v>
      </c>
      <c r="H90" s="170">
        <f>'Přehled o rozpočtu_HČ'!N90</f>
        <v>0</v>
      </c>
      <c r="I90" s="171"/>
      <c r="J90" s="171"/>
      <c r="K90" s="375">
        <f t="shared" si="3"/>
      </c>
      <c r="L90" s="171"/>
      <c r="M90" s="248">
        <f t="shared" si="4"/>
        <v>0</v>
      </c>
    </row>
    <row r="91" spans="1:13" ht="15">
      <c r="A91" s="313"/>
      <c r="B91" s="399" t="s">
        <v>267</v>
      </c>
      <c r="C91" s="55"/>
      <c r="D91" s="297">
        <f>'Přehled o rozpočtu_HČ'!D91</f>
        <v>0</v>
      </c>
      <c r="E91" s="499">
        <f>'[6]Přehled o rozpočtu_HČ'!D91</f>
        <v>467860</v>
      </c>
      <c r="F91" s="499">
        <f>'Přehled o rozpočtu_HČ'!H91</f>
        <v>184529.67</v>
      </c>
      <c r="G91" s="176">
        <f>'Přehled o rozpočtu_HČ'!K91</f>
        <v>0</v>
      </c>
      <c r="H91" s="170">
        <f>'Přehled o rozpočtu_HČ'!N91</f>
        <v>0</v>
      </c>
      <c r="I91" s="171"/>
      <c r="J91" s="171"/>
      <c r="K91" s="375">
        <f t="shared" si="3"/>
      </c>
      <c r="L91" s="171"/>
      <c r="M91" s="248">
        <f t="shared" si="4"/>
        <v>0</v>
      </c>
    </row>
    <row r="92" spans="1:13" ht="15">
      <c r="A92" s="313"/>
      <c r="B92" s="399" t="s">
        <v>268</v>
      </c>
      <c r="C92" s="55"/>
      <c r="D92" s="297">
        <f>'Přehled o rozpočtu_HČ'!D92</f>
        <v>7290461</v>
      </c>
      <c r="E92" s="499">
        <f>'[6]Přehled o rozpočtu_HČ'!D92</f>
        <v>7657255.06</v>
      </c>
      <c r="F92" s="499">
        <f>'Přehled o rozpočtu_HČ'!H92</f>
        <v>10712321</v>
      </c>
      <c r="G92" s="176">
        <f>'Přehled o rozpočtu_HČ'!K92</f>
        <v>11938143</v>
      </c>
      <c r="H92" s="170">
        <f>'Přehled o rozpočtu_HČ'!N92</f>
        <v>2184260.38</v>
      </c>
      <c r="I92" s="171"/>
      <c r="J92" s="171"/>
      <c r="K92" s="375">
        <f t="shared" si="3"/>
      </c>
      <c r="L92" s="171">
        <v>696361</v>
      </c>
      <c r="M92" s="248">
        <f t="shared" si="4"/>
        <v>696361</v>
      </c>
    </row>
    <row r="93" spans="1:13" ht="15">
      <c r="A93" s="313"/>
      <c r="B93" s="399" t="s">
        <v>269</v>
      </c>
      <c r="C93" s="55"/>
      <c r="D93" s="297">
        <f>'Přehled o rozpočtu_HČ'!D93</f>
        <v>0</v>
      </c>
      <c r="E93" s="499">
        <f>'[6]Přehled o rozpočtu_HČ'!D93</f>
        <v>11710814.7</v>
      </c>
      <c r="F93" s="499">
        <f>'Přehled o rozpočtu_HČ'!H93</f>
        <v>-12458164</v>
      </c>
      <c r="G93" s="176">
        <f>'Přehled o rozpočtu_HČ'!K93</f>
        <v>3926659</v>
      </c>
      <c r="H93" s="170">
        <f>'Přehled o rozpočtu_HČ'!N93</f>
        <v>24344433.02</v>
      </c>
      <c r="I93" s="171"/>
      <c r="J93" s="171"/>
      <c r="K93" s="375">
        <f t="shared" si="3"/>
      </c>
      <c r="L93" s="171">
        <v>11938000</v>
      </c>
      <c r="M93" s="248">
        <f t="shared" si="4"/>
        <v>11938000</v>
      </c>
    </row>
    <row r="94" spans="1:13" ht="15">
      <c r="A94" s="313"/>
      <c r="B94" s="399" t="s">
        <v>270</v>
      </c>
      <c r="C94" s="55"/>
      <c r="D94" s="297">
        <f>'Přehled o rozpočtu_HČ'!D94</f>
        <v>9475290</v>
      </c>
      <c r="E94" s="499">
        <f>'[6]Přehled o rozpočtu_HČ'!D94</f>
        <v>14396421</v>
      </c>
      <c r="F94" s="499">
        <f>'Přehled o rozpočtu_HČ'!H94</f>
        <v>19073737</v>
      </c>
      <c r="G94" s="176">
        <f>'Přehled o rozpočtu_HČ'!K94</f>
        <v>10131599</v>
      </c>
      <c r="H94" s="170">
        <f>'Přehled o rozpočtu_HČ'!N94</f>
        <v>9851256</v>
      </c>
      <c r="I94" s="171">
        <v>10310000</v>
      </c>
      <c r="J94" s="171">
        <v>10310000</v>
      </c>
      <c r="K94" s="375">
        <f t="shared" si="3"/>
        <v>0.9555049466537342</v>
      </c>
      <c r="L94" s="171">
        <v>9750000</v>
      </c>
      <c r="M94" s="248">
        <f t="shared" si="4"/>
        <v>-560000</v>
      </c>
    </row>
    <row r="95" spans="1:13" ht="15">
      <c r="A95" s="313"/>
      <c r="B95" s="399" t="s">
        <v>288</v>
      </c>
      <c r="C95" s="55"/>
      <c r="D95" s="297">
        <f>'Přehled o rozpočtu_HČ'!D95</f>
        <v>375551</v>
      </c>
      <c r="E95" s="499">
        <f>'[6]Přehled o rozpočtu_HČ'!D95</f>
        <v>3549437</v>
      </c>
      <c r="F95" s="499">
        <f>'Přehled o rozpočtu_HČ'!H95</f>
        <v>7659695</v>
      </c>
      <c r="G95" s="176">
        <f>'Přehled o rozpočtu_HČ'!K95</f>
        <v>19433773</v>
      </c>
      <c r="H95" s="170">
        <v>1511561</v>
      </c>
      <c r="I95" s="171"/>
      <c r="J95" s="171"/>
      <c r="K95" s="375">
        <f t="shared" si="3"/>
      </c>
      <c r="L95" s="171">
        <v>1511560</v>
      </c>
      <c r="M95" s="248">
        <f t="shared" si="4"/>
        <v>1511560</v>
      </c>
    </row>
    <row r="96" spans="1:13" ht="15.75" thickBot="1">
      <c r="A96" s="386">
        <v>74</v>
      </c>
      <c r="B96" s="387" t="s">
        <v>165</v>
      </c>
      <c r="C96" s="56" t="s">
        <v>166</v>
      </c>
      <c r="D96" s="400">
        <f>'Přehled o rozpočtu_HČ'!D96</f>
        <v>0</v>
      </c>
      <c r="E96" s="631">
        <f>'Přehled o rozpočtu_HČ'!E96</f>
        <v>0</v>
      </c>
      <c r="F96" s="631">
        <f>'Přehled o rozpočtu_HČ'!H96</f>
        <v>0</v>
      </c>
      <c r="G96" s="624">
        <f>'Přehled o rozpočtu_HČ'!K96</f>
        <v>0</v>
      </c>
      <c r="H96" s="388">
        <f>'Přehled o rozpočtu_HČ'!N96</f>
        <v>0</v>
      </c>
      <c r="I96" s="172">
        <v>0</v>
      </c>
      <c r="J96" s="349"/>
      <c r="K96" s="389">
        <f t="shared" si="3"/>
      </c>
      <c r="L96" s="349"/>
      <c r="M96" s="350">
        <f t="shared" si="4"/>
        <v>0</v>
      </c>
    </row>
    <row r="97" spans="1:13" s="89" customFormat="1" ht="30" thickBot="1">
      <c r="A97" s="43">
        <v>75</v>
      </c>
      <c r="B97" s="347" t="s">
        <v>186</v>
      </c>
      <c r="C97" s="58" t="s">
        <v>40</v>
      </c>
      <c r="D97" s="401">
        <f>'Přehled o rozpočtu_HČ'!D97</f>
        <v>14274814.980000025</v>
      </c>
      <c r="E97" s="632">
        <f>'[6]Přehled o rozpočtu_HČ'!D97</f>
        <v>8268651.579999983</v>
      </c>
      <c r="F97" s="632">
        <f>'Přehled o rozpočtu_HČ'!H97</f>
        <v>10059619.999999998</v>
      </c>
      <c r="G97" s="625">
        <f>'Přehled o rozpočtu_HČ'!K97</f>
        <v>22748316</v>
      </c>
      <c r="H97" s="174">
        <f>'Přehled o rozpočtu_HČ'!N97</f>
        <v>9058090.75999999</v>
      </c>
      <c r="I97" s="67">
        <f>I56-I8-I44-I50</f>
        <v>6000000</v>
      </c>
      <c r="J97" s="67">
        <f>J56-J8-J44-J50</f>
        <v>6000000</v>
      </c>
      <c r="K97" s="402">
        <f t="shared" si="3"/>
        <v>1.5096817933333317</v>
      </c>
      <c r="L97" s="167">
        <f>L56-L8-L44-L50</f>
        <v>-24466950</v>
      </c>
      <c r="M97" s="168">
        <f t="shared" si="4"/>
        <v>-30466950</v>
      </c>
    </row>
    <row r="98" spans="1:13" s="89" customFormat="1" ht="30" thickBot="1">
      <c r="A98" s="43">
        <v>76</v>
      </c>
      <c r="B98" s="403" t="s">
        <v>347</v>
      </c>
      <c r="C98" s="58"/>
      <c r="D98" s="401">
        <f>'Přehled o rozpočtu_HČ'!D98</f>
        <v>3203144.75</v>
      </c>
      <c r="E98" s="632">
        <f>'[6]Přehled o rozpočtu_HČ'!D98</f>
        <v>4542.579999983311</v>
      </c>
      <c r="F98" s="632">
        <f>'Přehled o rozpočtu_HČ'!H98</f>
        <v>3485027.430000007</v>
      </c>
      <c r="G98" s="625">
        <f>'Přehled o rozpočtu_HČ'!K98</f>
        <v>14922358</v>
      </c>
      <c r="H98" s="174">
        <f>'Přehled o rozpočtu_HČ'!N98</f>
        <v>5094985.75999999</v>
      </c>
      <c r="I98" s="67">
        <f>I56-I7</f>
        <v>0</v>
      </c>
      <c r="J98" s="67">
        <f>J56-J7</f>
        <v>0</v>
      </c>
      <c r="K98" s="402">
        <f t="shared" si="3"/>
      </c>
      <c r="L98" s="167">
        <f>L56-L7</f>
        <v>-30466950</v>
      </c>
      <c r="M98" s="168">
        <f t="shared" si="4"/>
        <v>-30466950</v>
      </c>
    </row>
    <row r="99" spans="1:13" ht="15">
      <c r="A99" s="32"/>
      <c r="B99" s="155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1" t="s">
        <v>167</v>
      </c>
      <c r="B100" s="15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2" t="s">
        <v>168</v>
      </c>
      <c r="B101" s="155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2" t="s">
        <v>365</v>
      </c>
      <c r="B102" s="15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2" t="s">
        <v>366</v>
      </c>
      <c r="B103" s="155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2" t="s">
        <v>367</v>
      </c>
      <c r="B104" s="155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2"/>
      <c r="B105" s="155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8" ht="15">
      <c r="B108" s="404" t="s">
        <v>36</v>
      </c>
    </row>
    <row r="109" ht="15">
      <c r="B109" s="405" t="s">
        <v>21</v>
      </c>
    </row>
    <row r="110" ht="15">
      <c r="B110" s="405" t="s">
        <v>14</v>
      </c>
    </row>
    <row r="111" ht="15">
      <c r="B111" s="405" t="s">
        <v>15</v>
      </c>
    </row>
    <row r="112" ht="15">
      <c r="B112" s="405" t="s">
        <v>16</v>
      </c>
    </row>
    <row r="113" ht="15">
      <c r="B113" s="405" t="s">
        <v>17</v>
      </c>
    </row>
    <row r="114" ht="15">
      <c r="B114" s="405" t="s">
        <v>18</v>
      </c>
    </row>
    <row r="115" ht="15">
      <c r="B115" s="405" t="s">
        <v>19</v>
      </c>
    </row>
    <row r="116" ht="15">
      <c r="B116" s="405" t="s">
        <v>20</v>
      </c>
    </row>
  </sheetData>
  <sheetProtection/>
  <mergeCells count="15">
    <mergeCell ref="F4:F6"/>
    <mergeCell ref="K5:K6"/>
    <mergeCell ref="L5:L6"/>
    <mergeCell ref="M5:M6"/>
    <mergeCell ref="A2:M2"/>
    <mergeCell ref="A4:A6"/>
    <mergeCell ref="B4:B6"/>
    <mergeCell ref="C4:C6"/>
    <mergeCell ref="E4:E6"/>
    <mergeCell ref="G4:G6"/>
    <mergeCell ref="H4:M4"/>
    <mergeCell ref="H5:H6"/>
    <mergeCell ref="I5:I6"/>
    <mergeCell ref="J5:J6"/>
    <mergeCell ref="D4:D6"/>
  </mergeCells>
  <printOptions/>
  <pageMargins left="0" right="0.15748031496062992" top="0.7480314960629921" bottom="0.3937007874015748" header="0.3937007874015748" footer="0.15748031496062992"/>
  <pageSetup fitToHeight="0" fitToWidth="1" horizontalDpi="600" verticalDpi="600" orientation="landscape" paperSize="8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Stojanov</dc:creator>
  <cp:keywords/>
  <dc:description/>
  <cp:lastModifiedBy>esochorova</cp:lastModifiedBy>
  <cp:lastPrinted>2019-03-04T07:47:25Z</cp:lastPrinted>
  <dcterms:created xsi:type="dcterms:W3CDTF">2015-11-02T10:13:01Z</dcterms:created>
  <dcterms:modified xsi:type="dcterms:W3CDTF">2019-11-20T14:21:47Z</dcterms:modified>
  <cp:category/>
  <cp:version/>
  <cp:contentType/>
  <cp:contentStatus/>
</cp:coreProperties>
</file>